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  <sheet name="titul elektro" sheetId="4" r:id="rId4"/>
    <sheet name="elektro" sheetId="5" r:id="rId5"/>
  </sheets>
  <definedNames/>
  <calcPr fullCalcOnLoad="1"/>
</workbook>
</file>

<file path=xl/sharedStrings.xml><?xml version="1.0" encoding="utf-8"?>
<sst xmlns="http://schemas.openxmlformats.org/spreadsheetml/2006/main" count="2687" uniqueCount="1104">
  <si>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</si>
  <si>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</si>
  <si>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</si>
  <si>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</si>
  <si>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</si>
  <si>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</si>
  <si>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</si>
  <si>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</si>
  <si>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</si>
  <si>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</si>
  <si>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</si>
  <si>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</si>
  <si>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</si>
  <si>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</si>
  <si>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</si>
  <si>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</si>
  <si>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</si>
  <si>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</si>
  <si>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</si>
  <si>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</si>
  <si>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</si>
  <si>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</si>
  <si>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</si>
  <si>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</si>
  <si>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</si>
  <si>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</si>
  <si>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</si>
  <si>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</si>
  <si>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</si>
  <si>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</si>
  <si>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</si>
  <si>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</si>
  <si>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</si>
  <si>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</si>
  <si>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</si>
  <si>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</si>
  <si>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</si>
  <si>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</si>
  <si>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</si>
  <si>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</si>
  <si>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</si>
  <si>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</si>
  <si>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</si>
  <si>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</si>
  <si>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</si>
  <si>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</si>
  <si>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</si>
  <si>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</si>
  <si>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</si>
  <si>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</si>
  <si>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</si>
  <si>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</si>
  <si>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</si>
  <si>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</si>
  <si>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</si>
  <si>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</si>
  <si>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</si>
  <si>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</si>
  <si>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</si>
  <si>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</si>
  <si>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</si>
  <si>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</si>
  <si>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</si>
  <si>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</si>
  <si>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</si>
  <si>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</si>
  <si>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</si>
  <si>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</si>
  <si>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</si>
  <si>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</si>
  <si>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</si>
  <si>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</si>
  <si>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</si>
  <si>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</si>
  <si>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</si>
  <si>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</si>
  <si>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</si>
  <si>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</si>
  <si>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</si>
  <si>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</si>
  <si>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</si>
  <si>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</si>
  <si>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</si>
  <si>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</si>
  <si>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</si>
  <si>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</si>
  <si>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</si>
  <si>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</si>
  <si>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</si>
  <si>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</si>
  <si>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</si>
  <si>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</si>
  <si>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</si>
  <si>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</si>
  <si>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</si>
  <si>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</si>
  <si>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</si>
  <si>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</si>
  <si>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</si>
  <si>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</si>
  <si>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</si>
  <si>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</si>
  <si>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</si>
  <si>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</si>
  <si>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</si>
  <si>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</si>
  <si>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</si>
  <si>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</si>
  <si>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</si>
  <si>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</si>
  <si>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</si>
  <si>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</si>
  <si>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</si>
  <si>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</si>
  <si>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</si>
  <si>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</si>
  <si>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</si>
  <si>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</si>
  <si>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</si>
  <si>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</si>
  <si>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</si>
  <si>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</si>
  <si>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</si>
  <si>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</si>
  <si>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</si>
  <si>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</si>
  <si>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</si>
  <si>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</si>
  <si>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</si>
  <si>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</si>
  <si>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</si>
  <si>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</si>
  <si>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</si>
  <si>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</si>
  <si>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</si>
  <si>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</si>
  <si>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</si>
  <si>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</si>
  <si>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</si>
  <si>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</si>
  <si>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</si>
  <si>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</si>
  <si>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</si>
  <si>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</si>
  <si>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</si>
  <si>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</si>
  <si>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</si>
  <si>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</si>
  <si>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</si>
  <si>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</si>
  <si>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</si>
  <si>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</si>
  <si>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</si>
  <si>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</si>
  <si>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</si>
  <si>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</si>
  <si>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</si>
  <si>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</si>
  <si>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</si>
  <si>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</si>
  <si>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</si>
  <si>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</si>
  <si>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</si>
  <si>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</si>
  <si>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</si>
  <si>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</si>
  <si>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</si>
  <si>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</si>
  <si>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</si>
  <si>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</si>
  <si>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</si>
  <si>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</si>
  <si>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</si>
  <si>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</si>
  <si>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</si>
  <si>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</si>
  <si>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</si>
  <si>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</si>
  <si>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</si>
  <si>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</si>
  <si>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</si>
  <si>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</si>
  <si>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</si>
  <si>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</si>
  <si>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</si>
  <si>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</si>
  <si>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</si>
  <si>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</si>
  <si>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</si>
  <si>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</si>
  <si>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</si>
  <si>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</si>
  <si>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</si>
  <si>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</si>
  <si>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</si>
  <si>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</si>
  <si>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</si>
  <si>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</si>
  <si>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</si>
  <si>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</si>
  <si>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</si>
  <si>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</si>
  <si>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</si>
  <si>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</si>
  <si>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</si>
  <si>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</si>
  <si>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</si>
  <si>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</si>
  <si>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</si>
  <si>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</si>
  <si>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</si>
  <si>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Poznámka:</t>
  </si>
  <si>
    <t>Objekt</t>
  </si>
  <si>
    <t>Kód</t>
  </si>
  <si>
    <t>119001421R00</t>
  </si>
  <si>
    <t>120901121R00</t>
  </si>
  <si>
    <t>139601102R00</t>
  </si>
  <si>
    <t>162201203R00</t>
  </si>
  <si>
    <t>162701105R00</t>
  </si>
  <si>
    <t>162702199R00</t>
  </si>
  <si>
    <t>167101201R00</t>
  </si>
  <si>
    <t>174111102R00</t>
  </si>
  <si>
    <t>175101101R00</t>
  </si>
  <si>
    <t>58337306</t>
  </si>
  <si>
    <t>273321411R00</t>
  </si>
  <si>
    <t>273354111R00</t>
  </si>
  <si>
    <t>273354211R00</t>
  </si>
  <si>
    <t>273361921RT3</t>
  </si>
  <si>
    <t>274313711R00</t>
  </si>
  <si>
    <t>274351215R00</t>
  </si>
  <si>
    <t>274351216R00</t>
  </si>
  <si>
    <t>274353102R00</t>
  </si>
  <si>
    <t>274353109R00</t>
  </si>
  <si>
    <t>274353122R00</t>
  </si>
  <si>
    <t>311231126R00</t>
  </si>
  <si>
    <t>311321312R00</t>
  </si>
  <si>
    <t>311351105RT1</t>
  </si>
  <si>
    <t>311351106R00</t>
  </si>
  <si>
    <t>311351901R00</t>
  </si>
  <si>
    <t>311361721R00</t>
  </si>
  <si>
    <t>317941121R00</t>
  </si>
  <si>
    <t>13331732</t>
  </si>
  <si>
    <t>331231146R00</t>
  </si>
  <si>
    <t>342256364R00</t>
  </si>
  <si>
    <t>346991125RT2</t>
  </si>
  <si>
    <t>411321315R00</t>
  </si>
  <si>
    <t>411321515R00</t>
  </si>
  <si>
    <t>411351101RT1</t>
  </si>
  <si>
    <t>411351102R00</t>
  </si>
  <si>
    <t>411351201R00</t>
  </si>
  <si>
    <t>411351212R00</t>
  </si>
  <si>
    <t>411351801R00</t>
  </si>
  <si>
    <t>411351802R00</t>
  </si>
  <si>
    <t>411361921RT5</t>
  </si>
  <si>
    <t>411362721R00</t>
  </si>
  <si>
    <t>413321515R00</t>
  </si>
  <si>
    <t>413351107R00</t>
  </si>
  <si>
    <t>413351108R00</t>
  </si>
  <si>
    <t>413351211R00</t>
  </si>
  <si>
    <t>413351212R00</t>
  </si>
  <si>
    <t>413361721R00</t>
  </si>
  <si>
    <t>413232211R00</t>
  </si>
  <si>
    <t>413941121R00</t>
  </si>
  <si>
    <t>13383315</t>
  </si>
  <si>
    <t>13611228</t>
  </si>
  <si>
    <t>31495950</t>
  </si>
  <si>
    <t>13320993</t>
  </si>
  <si>
    <t>30950540</t>
  </si>
  <si>
    <t>311110180000</t>
  </si>
  <si>
    <t>311240180000</t>
  </si>
  <si>
    <t>564871111R00</t>
  </si>
  <si>
    <t>596215021R00</t>
  </si>
  <si>
    <t>59245308</t>
  </si>
  <si>
    <t>596291111R00</t>
  </si>
  <si>
    <t>601011181R00</t>
  </si>
  <si>
    <t>602011181R00</t>
  </si>
  <si>
    <t>611421133R00</t>
  </si>
  <si>
    <t>612421637R00</t>
  </si>
  <si>
    <t>621481211RT2</t>
  </si>
  <si>
    <t>622311132R00</t>
  </si>
  <si>
    <t>622311150RT1</t>
  </si>
  <si>
    <t>622311153RT1</t>
  </si>
  <si>
    <t>622311150RV1</t>
  </si>
  <si>
    <t>622311522RT1</t>
  </si>
  <si>
    <t>622311522RV1</t>
  </si>
  <si>
    <t>622481211RT2</t>
  </si>
  <si>
    <t>631312621R00</t>
  </si>
  <si>
    <t>631319161R00</t>
  </si>
  <si>
    <t>631319171R00</t>
  </si>
  <si>
    <t>631361921RT3</t>
  </si>
  <si>
    <t>632419104R00</t>
  </si>
  <si>
    <t>631312141R00</t>
  </si>
  <si>
    <t>641960000R00</t>
  </si>
  <si>
    <t>642942111R00</t>
  </si>
  <si>
    <t>711</t>
  </si>
  <si>
    <t>711111001R00</t>
  </si>
  <si>
    <t>11163110</t>
  </si>
  <si>
    <t>711112002R00</t>
  </si>
  <si>
    <t>711141559R00</t>
  </si>
  <si>
    <t>62852310</t>
  </si>
  <si>
    <t>711142559R00</t>
  </si>
  <si>
    <t>998711101R00</t>
  </si>
  <si>
    <t>712</t>
  </si>
  <si>
    <t>712372111RS3</t>
  </si>
  <si>
    <t>712378001R00</t>
  </si>
  <si>
    <t>712378005R00</t>
  </si>
  <si>
    <t>712378007R00</t>
  </si>
  <si>
    <t>712378101RT3</t>
  </si>
  <si>
    <t>712391171RZ1</t>
  </si>
  <si>
    <t>998712101R00</t>
  </si>
  <si>
    <t>713</t>
  </si>
  <si>
    <t>713141326R00</t>
  </si>
  <si>
    <t>28375704</t>
  </si>
  <si>
    <t>28375971</t>
  </si>
  <si>
    <t>713121111R00</t>
  </si>
  <si>
    <t>713121118R00</t>
  </si>
  <si>
    <t>28375312</t>
  </si>
  <si>
    <t>713191100RT9</t>
  </si>
  <si>
    <t>998713101R00</t>
  </si>
  <si>
    <t>721</t>
  </si>
  <si>
    <t>721110906R00</t>
  </si>
  <si>
    <t>721176102R00</t>
  </si>
  <si>
    <t>721176105R00</t>
  </si>
  <si>
    <t>721176115R00</t>
  </si>
  <si>
    <t>721176212R00</t>
  </si>
  <si>
    <t>721176223R00</t>
  </si>
  <si>
    <t>721194104R00</t>
  </si>
  <si>
    <t>721194109R00</t>
  </si>
  <si>
    <t>721273145R00</t>
  </si>
  <si>
    <t>721290111R00</t>
  </si>
  <si>
    <t>998721101R00</t>
  </si>
  <si>
    <t>722</t>
  </si>
  <si>
    <t>722171212R00</t>
  </si>
  <si>
    <t>722172311R00</t>
  </si>
  <si>
    <t>722181211RT7</t>
  </si>
  <si>
    <t>722181211RT8</t>
  </si>
  <si>
    <t>722190402R00</t>
  </si>
  <si>
    <t>722191112R00</t>
  </si>
  <si>
    <t>722191131R00</t>
  </si>
  <si>
    <t>722202512R00</t>
  </si>
  <si>
    <t>998722101R00</t>
  </si>
  <si>
    <t>725</t>
  </si>
  <si>
    <t>725014131R00</t>
  </si>
  <si>
    <t>725017331R00</t>
  </si>
  <si>
    <t>725119401R00</t>
  </si>
  <si>
    <t>55280001</t>
  </si>
  <si>
    <t>725536631R00</t>
  </si>
  <si>
    <t>725823121R00</t>
  </si>
  <si>
    <t>725860212R00</t>
  </si>
  <si>
    <t>998725101R00</t>
  </si>
  <si>
    <t>732</t>
  </si>
  <si>
    <t>732299101R00</t>
  </si>
  <si>
    <t>54151104</t>
  </si>
  <si>
    <t>54151105</t>
  </si>
  <si>
    <t>764</t>
  </si>
  <si>
    <t>764252604R00</t>
  </si>
  <si>
    <t>764252624R00</t>
  </si>
  <si>
    <t>764252634R00</t>
  </si>
  <si>
    <t>764259615R00</t>
  </si>
  <si>
    <t>764296430R00</t>
  </si>
  <si>
    <t>764510430R00</t>
  </si>
  <si>
    <t>764510450R00</t>
  </si>
  <si>
    <t>764551603R00</t>
  </si>
  <si>
    <t>764551613R00</t>
  </si>
  <si>
    <t>998764101R00</t>
  </si>
  <si>
    <t>766</t>
  </si>
  <si>
    <t>766629111R00</t>
  </si>
  <si>
    <t>611VD</t>
  </si>
  <si>
    <t>766629301R00</t>
  </si>
  <si>
    <t>61143066</t>
  </si>
  <si>
    <t>61143015</t>
  </si>
  <si>
    <t>766629304R00</t>
  </si>
  <si>
    <t>61143251</t>
  </si>
  <si>
    <t>766694111R00</t>
  </si>
  <si>
    <t>60775372</t>
  </si>
  <si>
    <t>60775551</t>
  </si>
  <si>
    <t>766661122R00</t>
  </si>
  <si>
    <t>55341453.A</t>
  </si>
  <si>
    <t>766665921R00</t>
  </si>
  <si>
    <t>54914599</t>
  </si>
  <si>
    <t>998761101R00</t>
  </si>
  <si>
    <t>767</t>
  </si>
  <si>
    <t>767161120R00</t>
  </si>
  <si>
    <t>55395101.A</t>
  </si>
  <si>
    <t>767161220R00</t>
  </si>
  <si>
    <t>767211111R00</t>
  </si>
  <si>
    <t>55300002.A</t>
  </si>
  <si>
    <t>767425163R00</t>
  </si>
  <si>
    <t>3117123405</t>
  </si>
  <si>
    <t>767590120R00</t>
  </si>
  <si>
    <t>55347124</t>
  </si>
  <si>
    <t>767995103R00</t>
  </si>
  <si>
    <t>55399993</t>
  </si>
  <si>
    <t>998767101R00</t>
  </si>
  <si>
    <t>776</t>
  </si>
  <si>
    <t>776421100RU1</t>
  </si>
  <si>
    <t>776511000R00</t>
  </si>
  <si>
    <t>28412301</t>
  </si>
  <si>
    <t>998776101R00</t>
  </si>
  <si>
    <t>781</t>
  </si>
  <si>
    <t>781101210R00</t>
  </si>
  <si>
    <t>781210121R00</t>
  </si>
  <si>
    <t>59781345</t>
  </si>
  <si>
    <t>998781101R00</t>
  </si>
  <si>
    <t>783</t>
  </si>
  <si>
    <t>783222100R00</t>
  </si>
  <si>
    <t>783226100R00</t>
  </si>
  <si>
    <t>784</t>
  </si>
  <si>
    <t>784411301R00</t>
  </si>
  <si>
    <t>784165512R00</t>
  </si>
  <si>
    <t>784161401R00</t>
  </si>
  <si>
    <t>M21</t>
  </si>
  <si>
    <t>210VD</t>
  </si>
  <si>
    <t>916561111R00</t>
  </si>
  <si>
    <t>59217330</t>
  </si>
  <si>
    <t>941941031R00</t>
  </si>
  <si>
    <t>941941191R00</t>
  </si>
  <si>
    <t>941941831R00</t>
  </si>
  <si>
    <t>941955001R00</t>
  </si>
  <si>
    <t>952901111R00</t>
  </si>
  <si>
    <t>954111102R00</t>
  </si>
  <si>
    <t>960321271R00</t>
  </si>
  <si>
    <t>965042221R00</t>
  </si>
  <si>
    <t>971052341R00</t>
  </si>
  <si>
    <t>H01</t>
  </si>
  <si>
    <t>998011001R00</t>
  </si>
  <si>
    <t>S</t>
  </si>
  <si>
    <t>979081111R00</t>
  </si>
  <si>
    <t>979081121R00</t>
  </si>
  <si>
    <t>979082111R00</t>
  </si>
  <si>
    <t>979082121R00</t>
  </si>
  <si>
    <t>979990103R00</t>
  </si>
  <si>
    <t>Ostrahová věž č. 2 věznice Bělušice</t>
  </si>
  <si>
    <t>Zkrácený popis / Varianta</t>
  </si>
  <si>
    <t>Rozměry</t>
  </si>
  <si>
    <t>Přípravné a přidružené práce</t>
  </si>
  <si>
    <t>Dočasné zajištění kabelů - do počtu 3 kabelů</t>
  </si>
  <si>
    <t>Odkopávky a prokopávky</t>
  </si>
  <si>
    <t>Bourání konstrukcí z prostého betonu v odkopávkách</t>
  </si>
  <si>
    <t>4,8*3,8*0,15   betonová mazanina</t>
  </si>
  <si>
    <t>Hloubené vykopávky</t>
  </si>
  <si>
    <t>Ruční výkop jam, rýh a šachet v hornině tř. 3</t>
  </si>
  <si>
    <t>3,8*4,8*0,15   nad betonovou mazaninou</t>
  </si>
  <si>
    <t>0,75*3,6*0,35   pro zámkovou dlažbu</t>
  </si>
  <si>
    <t>2,2*0,45*0,65+2*2,0*0,45*0,65+2*0,97*0,45*0,65+1,2*0,45*0,65   pro pasy</t>
  </si>
  <si>
    <t>2,2*0,8*1,2+3,8*0,6*1,2   pro kanalizaci</t>
  </si>
  <si>
    <t>Přemístění výkopku</t>
  </si>
  <si>
    <t>Vodorovné přemíst.výkopku, kolečko hor.1-4, do 10m</t>
  </si>
  <si>
    <t>4,45   zásyp</t>
  </si>
  <si>
    <t>(11,27-4,45)*5   přebytečná zemina</t>
  </si>
  <si>
    <t>Vodorovné přemístění výkopku z hor.1-4 do 10000 m</t>
  </si>
  <si>
    <t>11,27-4,45</t>
  </si>
  <si>
    <t>Poplatek za skládku zeminy</t>
  </si>
  <si>
    <t>Nakládání výkopku z hor.1 ÷ 4 - ručně</t>
  </si>
  <si>
    <t>4,45   na zásyp</t>
  </si>
  <si>
    <t>Konstrukce ze zemin</t>
  </si>
  <si>
    <t>Zásyp šachty pro kotvy ruční se zhutněním</t>
  </si>
  <si>
    <t>2,2*0,8*0,9+3,8*0,6*0,9   kanalizace</t>
  </si>
  <si>
    <t>(2,2*2,05-0,69*0,69)*0,2   mezi pasy</t>
  </si>
  <si>
    <t>Obsyp potrubí bez prohození sypaniny</t>
  </si>
  <si>
    <t>2,2*0,8*3+3,8*0,6*0,3   pro kanalizaci</t>
  </si>
  <si>
    <t>Štěrkopísek frakce 0-8 tř.B</t>
  </si>
  <si>
    <t>5,96*1,8</t>
  </si>
  <si>
    <t>Základy</t>
  </si>
  <si>
    <t>Železobeton základových desek C 25/30</t>
  </si>
  <si>
    <t>(2,9*2,75-0,89*0,89)*0,1   podkladní beton mazanina</t>
  </si>
  <si>
    <t>Bednění základových desek zřízení</t>
  </si>
  <si>
    <t>(2*2,0+2*1,34+1,2)*0,1   vnější hrana</t>
  </si>
  <si>
    <t>Bednění základových desek odstranění</t>
  </si>
  <si>
    <t>Výztuž základových desek ze svařovaných sítí</t>
  </si>
  <si>
    <t>průměr drátu  5,0, oka 150/150 mm KD37</t>
  </si>
  <si>
    <t>(2,9*2,75-0,89*0,89)*2,1*1,25/1000   podkladní mazanina</t>
  </si>
  <si>
    <t>Beton základových pasů prostý C 25/30</t>
  </si>
  <si>
    <t>(2,2*0,35+2*1,9*0,35+2*0,97*0,35+1,2*0,35)*0,65   pasy do vyhloubených rýh</t>
  </si>
  <si>
    <t>Bednění stěn základových pasů - zřízení</t>
  </si>
  <si>
    <t>(2,0+2*1,34+1,2)*0,25   zvenku</t>
  </si>
  <si>
    <t>(2,2+2*1,36+2*0,97+0,83)*0,25   zevnitř</t>
  </si>
  <si>
    <t>Bednění stěn základových pasů - odstranění</t>
  </si>
  <si>
    <t>Bednění kotev.otvorů pasů do 0,01 m2, hl. 0,5 m</t>
  </si>
  <si>
    <t>1   vodovod</t>
  </si>
  <si>
    <t>Bednění otvorů pasů příplatek za další 0,5 m hl.</t>
  </si>
  <si>
    <t>Bednění kotev.otvorů pasů do 0,05 m2, hl. 1 m</t>
  </si>
  <si>
    <t>1   kanalizace</t>
  </si>
  <si>
    <t>Zdi podpěrné a volné</t>
  </si>
  <si>
    <t>Zdivo nosné cihelné z CP 29 P25 na MC 10</t>
  </si>
  <si>
    <t>(2,3*0,3+2*2,0*0,3+2*1,01*0,3+1,2*0,3)*2,4   1.NP</t>
  </si>
  <si>
    <t>-0,9*2,0*0,3-0,95*2,05*0,3-(2*1,01+1,2)*0,6*0,3   odpočet otvorů</t>
  </si>
  <si>
    <t>2,9*0,3*2,23+2*0,93*0,3*0,53+2*1,01*0,3*0,53+1,2*0,3*0,53   2.NP</t>
  </si>
  <si>
    <t>-1,0*0,3*0,3   odpočet otvorů</t>
  </si>
  <si>
    <t>Železobeton nadzákladových zdí C 20/25</t>
  </si>
  <si>
    <t>(2*1,01+1,2)*0,6*0,3   střílny 1.NP</t>
  </si>
  <si>
    <t>-3*0,6*0,2*0,3   odpočet otvorů</t>
  </si>
  <si>
    <t>Bednění nadzákladových zdí oboustranné - zřízení</t>
  </si>
  <si>
    <t>bednicí materiál prkna</t>
  </si>
  <si>
    <t>(2*1,01+1,2)*2*0,6</t>
  </si>
  <si>
    <t>Bednění nadzákladových zdí oboustranné-odstranění</t>
  </si>
  <si>
    <t>Bednění otvoru plochy do 0,5 m2</t>
  </si>
  <si>
    <t>Výztuž nadzákladových zdí z ocel BSt 500 S</t>
  </si>
  <si>
    <t>Osazení ocelových válcovaných nosníků do č.12</t>
  </si>
  <si>
    <t>6*1,4*5,42/1000</t>
  </si>
  <si>
    <t>Úhelník rovnoramenný L jakost S235   60x 60x 6 mm</t>
  </si>
  <si>
    <t>;ztratné 8%; 0,004</t>
  </si>
  <si>
    <t>Sloupy a pilíře, stožáry a rámové stojky</t>
  </si>
  <si>
    <t>Zdivo pilířů cihelné z CP 25 cm P20 na MC 10</t>
  </si>
  <si>
    <t>2*0,3*0,3*1,3   pilířky 2.NP</t>
  </si>
  <si>
    <t>Stěny a příčky</t>
  </si>
  <si>
    <t>Příčka z tvárnic porobetonových HEBEL tl. 125 mm</t>
  </si>
  <si>
    <t>1,55*1,5   předstěna</t>
  </si>
  <si>
    <t>Izolace dvojpříček polystyrén.deskami  tl. &gt;50 mm</t>
  </si>
  <si>
    <t>tloušťka polystyrénové desky 100 mm</t>
  </si>
  <si>
    <t>2,9*5,8-0,9*2,0-1*0,3</t>
  </si>
  <si>
    <t>Stropy a stropní konstrukce (pro pozemní stavby)</t>
  </si>
  <si>
    <t>Stropy deskové ze železobetonu C 20/25</t>
  </si>
  <si>
    <t>(2,9*2,75-0,89*0,89-0,75*0,7)*0,12   strop nad 1.NP</t>
  </si>
  <si>
    <t>Stropy deskové ze železobetonu C 30/37</t>
  </si>
  <si>
    <t>(4,8*3,8-1,45*1,45-0,74*0,74)*0,1   strop nad 2.NP</t>
  </si>
  <si>
    <t>Bednění stropů deskových, bednění vlastní -zřízení</t>
  </si>
  <si>
    <t>2,0*2,0-0,62*0,62   strop nad 1.NP</t>
  </si>
  <si>
    <t>2,3*2,3-0,72*0,72+(2*2,35+2*1,26+1,9)*0,95-0,74*0,74   strop nad 2.NP</t>
  </si>
  <si>
    <t>Bednění stropů deskových, vlastní - odstranění</t>
  </si>
  <si>
    <t>Bednění stropů deskových, podepření, do 3,5m, 5kPa</t>
  </si>
  <si>
    <t>Odstranění bednění stropů deskových do 5,9m, 5kPa</t>
  </si>
  <si>
    <t>Bednění čel stropních desek, zřízení</t>
  </si>
  <si>
    <t>2*2,0+2*1,34+1,2+2*0,7+2*0,75   boky desky</t>
  </si>
  <si>
    <t>2*1,61+2*2,05+1,9   boky desky</t>
  </si>
  <si>
    <t>Bednění čel stropních desek, odstranění</t>
  </si>
  <si>
    <t>Výztuž stropů svařovanou sítí</t>
  </si>
  <si>
    <t>průměr drátu  6,0, oka 150/150 mm KH20</t>
  </si>
  <si>
    <t>0,055+0,127</t>
  </si>
  <si>
    <t>Výztuž kleneb z oceli BSt 500 S</t>
  </si>
  <si>
    <t>0,065+0,041</t>
  </si>
  <si>
    <t>Nosníky z betonu železového C 30/37</t>
  </si>
  <si>
    <t>(2*1,9+2*1,01+1,2)*0,3*0,2   překlady 2.NP</t>
  </si>
  <si>
    <t>Bednění nosníků - zřízení</t>
  </si>
  <si>
    <t>(2*0,75+2*0,63+2*1,01+1,2)*0,3   spodek</t>
  </si>
  <si>
    <t>(2*1,9+2*1,34+1,2+2*1,43+2*1,01+0,87)*0,2   boky</t>
  </si>
  <si>
    <t>Bednění nosníků - odstranění</t>
  </si>
  <si>
    <t>Podpěrná konstr.nosníků do 4 m,do 5 kPa - zřízení</t>
  </si>
  <si>
    <t>(2*0,75+2*0,63+2*1,01+1,2)*0,3</t>
  </si>
  <si>
    <t>Podpěrná konstr.nosníků do 4 m,5 kPa - odstranění</t>
  </si>
  <si>
    <t>Výztuž nosníků z oceli BSt 500 S</t>
  </si>
  <si>
    <t>Zazdívka zhlaví válcovaných nosníků výšky do 15cm</t>
  </si>
  <si>
    <t>12   kotevní prvky do žb desky</t>
  </si>
  <si>
    <t>Osazení válcovaných nosníků ve stropech do č. 12</t>
  </si>
  <si>
    <t>(10*0,9+2*0,3+2*0,84+2*1,61+2*2,01+1,86)*8,1/1000   ochoz</t>
  </si>
  <si>
    <t>(24*0,1*0,08+10*0,11*0,16)*80/1000   kotevní plechy</t>
  </si>
  <si>
    <t>6*0,12*3,3/1000   spojovací plechy</t>
  </si>
  <si>
    <t>Tyč průřezu IPE 100, střední, jakost oceli S235</t>
  </si>
  <si>
    <t>;ztratné 8%; 0,0136</t>
  </si>
  <si>
    <t>Plech hladký jakost 11375.1  10x1000x2000 mm</t>
  </si>
  <si>
    <t>;ztratné 8%; 0,0024</t>
  </si>
  <si>
    <t>Přirážka za pozinkování konstrukce</t>
  </si>
  <si>
    <t>(10*0,9+2*0,3+2*0,84+2*1,61+2*2,01+1,86)*8,1   ochoz</t>
  </si>
  <si>
    <t>(24*0,1*0,08+10*0,11*0,16)*80   kotevní plechy</t>
  </si>
  <si>
    <t>6*0,12*3,3   spojovací plechy</t>
  </si>
  <si>
    <t>Tyč ocelová plochá jakost S235  70x6 mm</t>
  </si>
  <si>
    <t>0,01   spojovací plechy</t>
  </si>
  <si>
    <t>;ztratné 8%; 0,0008</t>
  </si>
  <si>
    <t>Šroub se 6hr. hlavou 02 1101 8G M10x40 mm,pozink.</t>
  </si>
  <si>
    <t>28*4/1000</t>
  </si>
  <si>
    <t>Matice ocelová pozinkovaná 02 1401.2  M10</t>
  </si>
  <si>
    <t>28*4</t>
  </si>
  <si>
    <t>Podložka  10,2       021740.0</t>
  </si>
  <si>
    <t>28*4*2</t>
  </si>
  <si>
    <t>Podkladní vrstvy komunikací, letišť a ploch</t>
  </si>
  <si>
    <t>Podklad ze štěrkodrti po zhutnění tloušťky 25 cm</t>
  </si>
  <si>
    <t>Kryty pozemních komunikací, letišť a ploch dlážděných (předlažby)</t>
  </si>
  <si>
    <t>Kladení zámkové dlažby tl. 6 cm do drtě tl. 4 cm</t>
  </si>
  <si>
    <t>8,24</t>
  </si>
  <si>
    <t>Dlažba přírodní  20x10x6</t>
  </si>
  <si>
    <t>;ztratné 5%; 0,412</t>
  </si>
  <si>
    <t>Řezání zámkové dlažby tl. 60 mm</t>
  </si>
  <si>
    <t>1,2+1,9+2*2,2</t>
  </si>
  <si>
    <t>Omítky ze suchých směsí</t>
  </si>
  <si>
    <t>Omítka stropů tenkovrstvá akrylátová bílá</t>
  </si>
  <si>
    <t>(2*2,35+2*1,26+1,9)*0,95-0,74*0,74   strop nad ochozem</t>
  </si>
  <si>
    <t>Omítka stěn tenkovrstvá akrylátová bílá</t>
  </si>
  <si>
    <t>(2*1,61+2*2,05+1,9)*0,26   čelo stropu nad 2.NP</t>
  </si>
  <si>
    <t>Úprava povrchů vnitřní</t>
  </si>
  <si>
    <t>Omítka vnitřní stropů rovných, MVC, štuková</t>
  </si>
  <si>
    <t>4,32+4,03</t>
  </si>
  <si>
    <t>Omítka vnitřní zdiva, MVC, štuková</t>
  </si>
  <si>
    <t>(2,4+2*1,55+2-1,01+0,87)*2,4   1.NP</t>
  </si>
  <si>
    <t>-0,9*2,0-0,95*2,05-3*0,2*0,6   odpočet otvorů</t>
  </si>
  <si>
    <t>(0,9+2*2,15)*0,4+(0,95+2*2,3)*0,15   ostění</t>
  </si>
  <si>
    <t>(2,3+2*1,43+2*1,01+0,87)*2,23   2.NP</t>
  </si>
  <si>
    <t>-0,3*1-2*0,75*2,05-(2*0,38+2*1,01+0,87)*1,5   odpočet otvorů</t>
  </si>
  <si>
    <t>(4*2,05+2*0,75+2*1,5+2*0,63+2*1,01+1,2)*0,15   ostění</t>
  </si>
  <si>
    <t>Úprava povrchů vnější</t>
  </si>
  <si>
    <t>Montáž výztužné sítě (perlinky) do stěrky-podhledy</t>
  </si>
  <si>
    <t>včetně výztužné sítě a stěrkového tmelu Baumit</t>
  </si>
  <si>
    <t>Zateplovací systém fasáda, EPS F tl.100 mm</t>
  </si>
  <si>
    <t>(2*2,0+2*1,34+1,2)*4,9   od 0,25m nad terénem</t>
  </si>
  <si>
    <t>-0,95*2,05-3*0,75*0,35-2*0,75*2,05-2*0,63*1,5-2*1,34*1,5-1,5*1,5   odpočet otvorů</t>
  </si>
  <si>
    <t>Povrchová úprava ostění KZS bez izolace</t>
  </si>
  <si>
    <t>s omítkou GranoporTop K2, lepidlo ProContact</t>
  </si>
  <si>
    <t>6*1,1*0,25+6*0,6*0,25+6*0,2*0,15+6*0,6*0,15   ostění střílen</t>
  </si>
  <si>
    <t>Zateplovací systém, ostění, EPS F tl. 30 mm</t>
  </si>
  <si>
    <t>(0,95+2*2,05)*0,25   dveře 1.NP</t>
  </si>
  <si>
    <t>(0,75+2*2,05)*2*0,25   dveře 2.NP</t>
  </si>
  <si>
    <t>(2*1,5+2*0,63+2*1,34+1,2)*0,25   okna 2.NP</t>
  </si>
  <si>
    <t>přestěrkování se síťovinou ostění KZS bez izolace</t>
  </si>
  <si>
    <t>zakončená stěrkou s výztužnou tkaninou</t>
  </si>
  <si>
    <t>(2*0,63+2*1,34+1,2)*0,25   pod parapetním plechem</t>
  </si>
  <si>
    <t>Zateplovací systém, sokl, XPS tl. 100 mm</t>
  </si>
  <si>
    <t>s omítkou GranoporTop K2, lepidlo StarContact</t>
  </si>
  <si>
    <t>(2*2,0+2*1,43+1,2)*0,25   nad úrovní terénu</t>
  </si>
  <si>
    <t>zakončený stěrkou s výztužnou tkaninou</t>
  </si>
  <si>
    <t>(2*2,0+2*1,43+1,2)*1,0   pod úrovní terénu</t>
  </si>
  <si>
    <t>Montáž výztužné sítě (perlinky) do stěrky-stěny</t>
  </si>
  <si>
    <t>(2*1,61+2*2,05+1,9)*0,26</t>
  </si>
  <si>
    <t>Podlahy a podlahové konstrukce</t>
  </si>
  <si>
    <t>Mazanina betonová tl. 5 - 8 cm C 20/25</t>
  </si>
  <si>
    <t>4,32*0,065   podlaha 1.NP</t>
  </si>
  <si>
    <t>Příplatek za konečnou úpravu mazanin tl. 8 cm</t>
  </si>
  <si>
    <t>4,32*0,065</t>
  </si>
  <si>
    <t>Příplatek za stržení povrchu mazaniny tl. 8 cm</t>
  </si>
  <si>
    <t>Výztuž mazanin svařovanou sítí</t>
  </si>
  <si>
    <t>4,32*2,1*1,25/1000</t>
  </si>
  <si>
    <t>Samonivelač. stěrka ruční zpracování tl.4 mm</t>
  </si>
  <si>
    <t>Doplnění rýh betonem v dosavadních mazaninách</t>
  </si>
  <si>
    <t>4,5*0,1*0,6*2   v garáži</t>
  </si>
  <si>
    <t>Výplně otvorů</t>
  </si>
  <si>
    <t>Těsnění spár otvorových prvků PU pěnou</t>
  </si>
  <si>
    <t>2*0,95+2*2,05+4*0,75+4*2,05   dveře</t>
  </si>
  <si>
    <t>6*1,5+4*0,63+4*1,34+2*1,2   okna</t>
  </si>
  <si>
    <t>Osazení zárubní dveřních ocelových, pl. do 2,5 m2</t>
  </si>
  <si>
    <t>Izolace proti vodě</t>
  </si>
  <si>
    <t>Izolace proti vlhkosti vodor. nátěr ALP za studena</t>
  </si>
  <si>
    <t>2,9*2,75-0,89*0,89   podkladní mazanina</t>
  </si>
  <si>
    <t>4,8*3,8-1,45*1,45-0,74*0,74   střecha</t>
  </si>
  <si>
    <t>4,5*0,6   garáž</t>
  </si>
  <si>
    <t>Lak asfaltový izolační ALP-PENETRAL  ŽC, AC</t>
  </si>
  <si>
    <t>25,47*0,00033   vodorovně</t>
  </si>
  <si>
    <t>3,23*0,00046   svisle</t>
  </si>
  <si>
    <t>Izolace proti vlhkosti svislá asf. lak, za studena</t>
  </si>
  <si>
    <t>(2,9+2*2,0+2*1,34+1,2)*0,3   vytažení izolace</t>
  </si>
  <si>
    <t>Izolace proti vlhk. vodorovná pásy přitavením</t>
  </si>
  <si>
    <t>Pás modifikovaný asfalt</t>
  </si>
  <si>
    <t>25,47+3,23</t>
  </si>
  <si>
    <t>;ztratné 15%; 4,305</t>
  </si>
  <si>
    <t>Izolace proti vlhkosti svislá pásy přitavením</t>
  </si>
  <si>
    <t>Přesun hmot pro izolace proti vodě, výšky do 6 m</t>
  </si>
  <si>
    <t>Izolace střech (živičné krytiny)</t>
  </si>
  <si>
    <t>Krytina střech do 10° fólie, 4 kotvy/m2, na beton</t>
  </si>
  <si>
    <t>tl. izolace do 160 mm, Alkorplan 35176 tl. 1,5 mm</t>
  </si>
  <si>
    <t>4,8*3,8-1,45*1,45-0,74*0,74   vodorovná plocha</t>
  </si>
  <si>
    <t>5,42*0,2   svislá plocha</t>
  </si>
  <si>
    <t>Atiková okapnice VIPLANYL RŠ 150 mm</t>
  </si>
  <si>
    <t>2*1,61+2*2,05+1,9</t>
  </si>
  <si>
    <t>Stěnová lišta vyhnutá VIPLANYL RŠ 70 mm</t>
  </si>
  <si>
    <t>2*1,05+3,32</t>
  </si>
  <si>
    <t>Rohová lišta vnitřní VIPLANYL RŠ 100 mm</t>
  </si>
  <si>
    <t>Komínek odvětrání kanalizace s manžetou z PVC</t>
  </si>
  <si>
    <t>pro DN 110 mm</t>
  </si>
  <si>
    <t>Povlaková krytina střech do 10°, podklad. textilie</t>
  </si>
  <si>
    <t>1 vrstva - včetně dodávky textilie Aralep</t>
  </si>
  <si>
    <t>Přesun hmot pro povlakové krytiny, výšky do 6 m</t>
  </si>
  <si>
    <t>Izolace tepelné</t>
  </si>
  <si>
    <t>Izolace tepelná střech do tl.250 mm,2vrstvy,kotvy</t>
  </si>
  <si>
    <t>4,8*3,8-1,45*1,45-0,74*0,74</t>
  </si>
  <si>
    <t>Deska izolační stabilizov. EPS 100  1000 x 500 mm</t>
  </si>
  <si>
    <t>15,59*0,16</t>
  </si>
  <si>
    <t>;ztratné 5%; 0,1245</t>
  </si>
  <si>
    <t>Deska spádová EPS 100</t>
  </si>
  <si>
    <t>15,59*0,045</t>
  </si>
  <si>
    <t>;ztratné 10%; 0,07</t>
  </si>
  <si>
    <t>Izolace tepelná podlah na sucho, jednovrstvá</t>
  </si>
  <si>
    <t>4,32*0,08</t>
  </si>
  <si>
    <t>;ztratné 5%; 0,0175</t>
  </si>
  <si>
    <t>Montáž dilatačního pásku podél stěn</t>
  </si>
  <si>
    <t>2*1,44+2,3+2*1,01+0,87</t>
  </si>
  <si>
    <t>Mirelon pás B izolační tl. 5 mm šířka 1100 mm</t>
  </si>
  <si>
    <t>8,07</t>
  </si>
  <si>
    <t>;ztratné 5%; 0,4035</t>
  </si>
  <si>
    <t>Položení separační fólie</t>
  </si>
  <si>
    <t>včetně dodávky fólie</t>
  </si>
  <si>
    <t>Přesun hmot pro izolace tepelné, výšky do 6 m</t>
  </si>
  <si>
    <t>Vnitřní kanalizace</t>
  </si>
  <si>
    <t>Oprava potrubí kamenin., vsazení odbočky DN 125</t>
  </si>
  <si>
    <t>Potrubí HT připojovací D 40 x 1,8 mm</t>
  </si>
  <si>
    <t>Potrubí HT připojovací D 110 x 2,7 mm</t>
  </si>
  <si>
    <t>Potrubí HT odpadní svislé D 110 x 2,7 mm</t>
  </si>
  <si>
    <t>Potrubí KG odpadní svislé D 110 x 3,2 mm</t>
  </si>
  <si>
    <t>Potrubí KG svodné (ležaté) v zemi D 125 x 3,2 mm</t>
  </si>
  <si>
    <t>Vyvedení odpadních výpustek D 40 x 1,8</t>
  </si>
  <si>
    <t>Vyvedení odpadních výpustek D 110 x 2,3</t>
  </si>
  <si>
    <t>Nástavec větrací z PVC D 110 mm, délka 930 mm</t>
  </si>
  <si>
    <t>Zkouška těsnosti kanalizace vodou DN 125</t>
  </si>
  <si>
    <t>Přesun hmot pro vnitřní kanalizaci, výšky do 6 m</t>
  </si>
  <si>
    <t>Vnitřní vodovod</t>
  </si>
  <si>
    <t>Potrubí z PEHD, D 25 x 2,3 mm</t>
  </si>
  <si>
    <t>Potrubí z PPR, studená, D 20x2,8 mm, vč.zed.výpom.</t>
  </si>
  <si>
    <t>Izolace návleková MIRELON PRO tl. stěny 6 mm</t>
  </si>
  <si>
    <t>vnitřní průměr 22 mm</t>
  </si>
  <si>
    <t>vnitřní průměr 25 mm</t>
  </si>
  <si>
    <t>Vyvedení a upevnění výpustek DN 20</t>
  </si>
  <si>
    <t>Hadice flexibilní k baterii,DN 15 x M10,délka 0,5m</t>
  </si>
  <si>
    <t>Hadice sanitární flexibilní, DN 15, délka 0,3 m</t>
  </si>
  <si>
    <t>Ventil přímý PP-R INSTAPLAST D 20x1/2"</t>
  </si>
  <si>
    <t>Přesun hmot pro vnitřní vodovod, výšky do 6 m</t>
  </si>
  <si>
    <t>Zařizovací předměty</t>
  </si>
  <si>
    <t>Klozet závěsný OLYMP + sedátko, bílý</t>
  </si>
  <si>
    <t>Umývátko na šrouby 45 x 37 cm, bílé</t>
  </si>
  <si>
    <t>Montáž předstěnových systémů pro zazdění</t>
  </si>
  <si>
    <t>modul pro závěsné WC - montážní výška 1062 mm</t>
  </si>
  <si>
    <t>Ohřívač el.zásob.rychloohř.závěs. Tatramat EO 30EL</t>
  </si>
  <si>
    <t>Baterie umyvadlová stoján. ruční, vč. otvír.odpadu</t>
  </si>
  <si>
    <t>Sifon umyvadlový HL134.0 pod omítku</t>
  </si>
  <si>
    <t>Přesun hmot pro zařizovací předměty, výšky do 6 m</t>
  </si>
  <si>
    <t>Strojovny</t>
  </si>
  <si>
    <t>Montáž topných těles elektrických pro přímý ohřev</t>
  </si>
  <si>
    <t>Konvektor přímotopný nástěnný WKL 2003 U</t>
  </si>
  <si>
    <t>Konvektor přímotopný nástěnný WKL 2503 U</t>
  </si>
  <si>
    <t>Konstrukce klempířské</t>
  </si>
  <si>
    <t>Žlab podokapní půlkulatý TiZn RHEINZINK rš. 333 mm</t>
  </si>
  <si>
    <t>Žlabový roh půlkulatý TiZn RHEINZINK rš.333 mm</t>
  </si>
  <si>
    <t>Čelo žlabu půlkulatého TiZn RHEINZINK rš.333 mm</t>
  </si>
  <si>
    <t>Kotlík závěsný TiZn RHEINZINK půlkulatý,330/100 mm</t>
  </si>
  <si>
    <t>Připojovací lišta z pl. Ti-Zn dilatační, rš 120 mm</t>
  </si>
  <si>
    <t>Oplechování parapetů včetně rohů Ti Zn, rš 200 mm</t>
  </si>
  <si>
    <t>2*1,1+1,2</t>
  </si>
  <si>
    <t>Oplechování parapetů včetně rohů Ti Zn, rš 330 mm</t>
  </si>
  <si>
    <t>2*0,7</t>
  </si>
  <si>
    <t>Svod z Ti Zn RHEINZINK, kruhový, D 100 mm</t>
  </si>
  <si>
    <t>Koleno z Ti Zn RHEINZINK 72°, kruhové, D 100 mm</t>
  </si>
  <si>
    <t>Přesun hmot pro klempířské konstr., výšky do 6 m</t>
  </si>
  <si>
    <t>Konstrukce truhlářské</t>
  </si>
  <si>
    <t>Sdružení zdvojených oken - dvou kusů</t>
  </si>
  <si>
    <t>Obklad spojovacího sloupku</t>
  </si>
  <si>
    <t>Montáž oken plastových plochy do 1,50 m2</t>
  </si>
  <si>
    <t>Okno plastové jednodílné 100 x 150 cm O</t>
  </si>
  <si>
    <t>Okno plastové jednodílné 63 x 150 cm P</t>
  </si>
  <si>
    <t>Montáž balkónových dveří plastových</t>
  </si>
  <si>
    <t>Dveře balkonové plastové 1křídlové 75x205 cm O</t>
  </si>
  <si>
    <t>Montáž parapetních desek š.do 30 cm,dl.do 100 cm</t>
  </si>
  <si>
    <t>Parapet interiér PVC Hammer š. 250 mm bílý</t>
  </si>
  <si>
    <t>2*0,5+3*1,2</t>
  </si>
  <si>
    <t>Krytka boční pro PVC parapety 600 mm oboustr. bílá</t>
  </si>
  <si>
    <t>Montáž dveří do zárubně,otevíravých 1kř.nad 0,8 m</t>
  </si>
  <si>
    <t>Dveře kovové 80/197 se zárubní</t>
  </si>
  <si>
    <t>Zakování dveří 1křídlých kompletizovaných</t>
  </si>
  <si>
    <t>Klika a knoflík se štítem  804  FAB/90 bílá</t>
  </si>
  <si>
    <t>Přesun hmot pro sklobetonové konstr., výšky do 6 m</t>
  </si>
  <si>
    <t>Konstrukce doplňkové stavební (zámečnické)</t>
  </si>
  <si>
    <t>Montáž zábradlí rovného z trubek do zdiva do 30 kg</t>
  </si>
  <si>
    <t>0,95+0,75</t>
  </si>
  <si>
    <t>Zábradlí ocelové</t>
  </si>
  <si>
    <t>Montáž zábradlí z trubek na ocel.konstr. do 30 kg</t>
  </si>
  <si>
    <t>2*1,65+2*2,0+1,85</t>
  </si>
  <si>
    <t>9,15*15</t>
  </si>
  <si>
    <t>137,25</t>
  </si>
  <si>
    <t>Montáž schodů rovných na ocel.konstr.- šroubováním</t>
  </si>
  <si>
    <t>Konstrukce ocelová středně těžká</t>
  </si>
  <si>
    <t>Montáž kotevních šroubů</t>
  </si>
  <si>
    <t>4   žebřík</t>
  </si>
  <si>
    <t>6   zábradlí</t>
  </si>
  <si>
    <t>Kotva HUS 8x65</t>
  </si>
  <si>
    <t>Montáž podlahových roštů - šroubováním</t>
  </si>
  <si>
    <t>6,8*35</t>
  </si>
  <si>
    <t>Rošt podlahový 30/3 lisovaný "P" 1000x1000 mm</t>
  </si>
  <si>
    <t>;ztratné 10%; 0,7</t>
  </si>
  <si>
    <t>Výroba a montáž kov. atypických konstr. do 20 kg</t>
  </si>
  <si>
    <t>3*12,3</t>
  </si>
  <si>
    <t>Ocelové výrobky nad 10 kg</t>
  </si>
  <si>
    <t>3*12,3   střílny</t>
  </si>
  <si>
    <t>Přesun hmot pro zámečnické konstr., výšky do 6 m</t>
  </si>
  <si>
    <t>Podlahy povlakové</t>
  </si>
  <si>
    <t>Lepení podlahových soklíků z PVC a vinylu</t>
  </si>
  <si>
    <t>včetně dodávky soklíku PVC</t>
  </si>
  <si>
    <t>(2,3+2*1,34+2*1,01+0,87)*2</t>
  </si>
  <si>
    <t>-0,9+2*0,4-0,95+2*0,25+2*0,7+2*0,75</t>
  </si>
  <si>
    <t>Lepení povlakových podlah z pásů pryžových</t>
  </si>
  <si>
    <t>Podlahovina PVC tl. 2 mm š. 2 m</t>
  </si>
  <si>
    <t>4*2,15*2</t>
  </si>
  <si>
    <t>Přesun hmot pro podlahy povlakové, výšky do 6 m</t>
  </si>
  <si>
    <t>Obklady (keramické)</t>
  </si>
  <si>
    <t>Penetrace podkladu pod obklady</t>
  </si>
  <si>
    <t>(1,5+0,15)*1,5+0,75*1,5</t>
  </si>
  <si>
    <t>Obkládání stěn obkl. pórovin. do tmele do 150x150</t>
  </si>
  <si>
    <t>3,6</t>
  </si>
  <si>
    <t>Obkládačka 15x15 bílá mat</t>
  </si>
  <si>
    <t>;ztratné 5%; 0,18</t>
  </si>
  <si>
    <t>Přesun hmot pro obklady keramické, výšky do 6 m</t>
  </si>
  <si>
    <t>Nátěry</t>
  </si>
  <si>
    <t>Nátěr syntetický kovových konstrukcí dvojnásobný</t>
  </si>
  <si>
    <t>(4*0,95+4*0,75+2*0,9)*0,13+(0,95+0,75)*0,21   vnitřní zábradlí</t>
  </si>
  <si>
    <t>(2*3,4+2*0,9)*0,24+8*0,4*0,22+0,5*0,5*2   žebřík</t>
  </si>
  <si>
    <t>Nátěr syntetický kovových konstrukcí základní</t>
  </si>
  <si>
    <t>Malby</t>
  </si>
  <si>
    <t>Pačokování 1x, obrus, sádra, místnosti H do 3,8 m</t>
  </si>
  <si>
    <t>4,32+4,03   stropy</t>
  </si>
  <si>
    <t>-3,6   obklady</t>
  </si>
  <si>
    <t>Malba HET Klasik, bílá, bez penetrace, 2 x</t>
  </si>
  <si>
    <t>Penetrace podkladu nátěrem HET, Klasik, 1 x</t>
  </si>
  <si>
    <t>Elektromontáže</t>
  </si>
  <si>
    <t>elektromontážní práce</t>
  </si>
  <si>
    <t>1   dle samosttaného rozpočtu</t>
  </si>
  <si>
    <t>Doplňující konstrukce a práce na pozemních komunikacích a zpevněných plochách</t>
  </si>
  <si>
    <t>Osazení záhon.obrubníků do lože z C 12/15 s opěrou</t>
  </si>
  <si>
    <t>2*3,2+1,9</t>
  </si>
  <si>
    <t>Obrubník záhonový  ABO 100-5/25 1000x50x250 mm</t>
  </si>
  <si>
    <t>Lešení a stavební výtahy</t>
  </si>
  <si>
    <t>Montáž lešení leh.řad.s podlahami,š.do 1 m, H 10 m</t>
  </si>
  <si>
    <t>(2*3,0+3,2+2*3,34)*4</t>
  </si>
  <si>
    <t>Příplatek za každý měsíc použití lešení k pol.1031</t>
  </si>
  <si>
    <t>Demontáž lešení leh.řad.s podlahami,š.1 m, H 10 m</t>
  </si>
  <si>
    <t>Lešení lehké pomocné, výška podlahy do 1,2 m</t>
  </si>
  <si>
    <t>2*4,3</t>
  </si>
  <si>
    <t>Různé dokončovací konstrukce a práce na pozemních stavbách</t>
  </si>
  <si>
    <t>Vyčištění budov o výšce podlaží do 4 m</t>
  </si>
  <si>
    <t>2*3,1*2,9</t>
  </si>
  <si>
    <t>CETRIS obklad ocel.sloupů 4str.,  tl.12,5 mm</t>
  </si>
  <si>
    <t>2*1,5</t>
  </si>
  <si>
    <t>Bourání konstrukcí</t>
  </si>
  <si>
    <t>Bourání konstrukcí ze železobetonu</t>
  </si>
  <si>
    <t>0,9*0,3*0,18   ubourání překladu</t>
  </si>
  <si>
    <t>Bourání mazanin betonových tl. nad 10 cm, pl. 1 m2</t>
  </si>
  <si>
    <t>(2*2,3*0,7+1,0*1,95)*0,15   stávající chodník</t>
  </si>
  <si>
    <t>Prorážení otvorů a ostatní bourací práce</t>
  </si>
  <si>
    <t>Vybourání otvorů zdi želbet. pl. 0,09 m2, tl. 30cm</t>
  </si>
  <si>
    <t>4   prostup voda+kanalizace</t>
  </si>
  <si>
    <t>Budovy občanské výstavby</t>
  </si>
  <si>
    <t>Přesun hmot pro budovy zděné výšky do 6 m</t>
  </si>
  <si>
    <t>Přesuny sutí</t>
  </si>
  <si>
    <t>Odvoz suti a vybour. hmot na skládku do 1 km</t>
  </si>
  <si>
    <t>Příplatek k odvozu za každý další 1 km</t>
  </si>
  <si>
    <t>8,4*9</t>
  </si>
  <si>
    <t>Vnitrostaveništní doprava suti do 10 m</t>
  </si>
  <si>
    <t>Příplatek k vnitrost. dopravě suti za dalších 5 m</t>
  </si>
  <si>
    <t>5*8,4</t>
  </si>
  <si>
    <t>Poplatek za skládku suti - beton</t>
  </si>
  <si>
    <t>Doba výstavby:</t>
  </si>
  <si>
    <t>Začátek výstavby:</t>
  </si>
  <si>
    <t>Konec výstavby:</t>
  </si>
  <si>
    <t>Zpracováno dne:</t>
  </si>
  <si>
    <t>M.j.</t>
  </si>
  <si>
    <t>m</t>
  </si>
  <si>
    <t>m3</t>
  </si>
  <si>
    <t>kus</t>
  </si>
  <si>
    <t>t</t>
  </si>
  <si>
    <t>m2</t>
  </si>
  <si>
    <t>kg</t>
  </si>
  <si>
    <t>1000 k</t>
  </si>
  <si>
    <t>soubor</t>
  </si>
  <si>
    <t>ks</t>
  </si>
  <si>
    <t>kpl</t>
  </si>
  <si>
    <t>Množství</t>
  </si>
  <si>
    <t>24.01.2018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</si>
  <si>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</si>
  <si>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</si>
  <si>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</si>
  <si>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</si>
  <si>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</si>
  <si>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</si>
  <si>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</si>
  <si>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</si>
  <si>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</si>
  <si>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</si>
  <si>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</si>
  <si>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</si>
  <si>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</si>
  <si>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</si>
  <si>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2018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</si>
  <si>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</si>
  <si>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</si>
  <si>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</si>
  <si>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</si>
  <si>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</si>
  <si>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</si>
  <si>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</si>
  <si>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</si>
  <si>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</si>
  <si>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</si>
  <si>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</si>
  <si>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</si>
  <si>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</si>
  <si>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16_</t>
  </si>
  <si>
    <t>17_</t>
  </si>
  <si>
    <t>27_</t>
  </si>
  <si>
    <t>31_</t>
  </si>
  <si>
    <t>33_</t>
  </si>
  <si>
    <t>34_</t>
  </si>
  <si>
    <t>41_</t>
  </si>
  <si>
    <t>56_</t>
  </si>
  <si>
    <t>59_</t>
  </si>
  <si>
    <t>60_</t>
  </si>
  <si>
    <t>61_</t>
  </si>
  <si>
    <t>62_</t>
  </si>
  <si>
    <t>63_</t>
  </si>
  <si>
    <t>64_</t>
  </si>
  <si>
    <t>711_</t>
  </si>
  <si>
    <t>712_</t>
  </si>
  <si>
    <t>713_</t>
  </si>
  <si>
    <t>721_</t>
  </si>
  <si>
    <t>722_</t>
  </si>
  <si>
    <t>725_</t>
  </si>
  <si>
    <t>732_</t>
  </si>
  <si>
    <t>764_</t>
  </si>
  <si>
    <t>766_</t>
  </si>
  <si>
    <t>767_</t>
  </si>
  <si>
    <t>776_</t>
  </si>
  <si>
    <t>781_</t>
  </si>
  <si>
    <t>783_</t>
  </si>
  <si>
    <t>784_</t>
  </si>
  <si>
    <t>M21_</t>
  </si>
  <si>
    <t>91_</t>
  </si>
  <si>
    <t>94_</t>
  </si>
  <si>
    <t>95_</t>
  </si>
  <si>
    <t>96_</t>
  </si>
  <si>
    <t>97_</t>
  </si>
  <si>
    <t>H01_</t>
  </si>
  <si>
    <t>S_</t>
  </si>
  <si>
    <t>1_</t>
  </si>
  <si>
    <t>2_</t>
  </si>
  <si>
    <t>3_</t>
  </si>
  <si>
    <t>4_</t>
  </si>
  <si>
    <t>5_</t>
  </si>
  <si>
    <t>6_</t>
  </si>
  <si>
    <t>71_</t>
  </si>
  <si>
    <t>72_</t>
  </si>
  <si>
    <t>73_</t>
  </si>
  <si>
    <t>76_</t>
  </si>
  <si>
    <t>77_</t>
  </si>
  <si>
    <t>78_</t>
  </si>
  <si>
    <t>9_</t>
  </si>
  <si>
    <t>_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</si>
  <si>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</si>
  <si>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</si>
  <si>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</si>
  <si>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</si>
  <si>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</si>
  <si>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</si>
  <si>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</si>
  <si>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</si>
  <si>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</si>
  <si>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</si>
  <si>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</si>
  <si>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</si>
  <si>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</si>
  <si>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</si>
  <si>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</si>
  <si>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</si>
  <si>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</si>
  <si>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</si>
  <si>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</si>
  <si>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</si>
  <si>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</si>
  <si>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</si>
  <si>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</si>
  <si>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</si>
  <si>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</si>
  <si>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</si>
  <si>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</si>
  <si>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</si>
  <si>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</si>
  <si>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</si>
  <si>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</si>
  <si>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</si>
  <si>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</si>
  <si>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</si>
  <si>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</si>
  <si>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</si>
  <si>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</si>
  <si>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</si>
  <si>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</si>
  <si>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</si>
  <si>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</si>
  <si>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</si>
  <si>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</si>
  <si>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</si>
  <si>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</si>
  <si>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</si>
  <si>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</si>
  <si>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</si>
  <si>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</si>
  <si>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</si>
  <si>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</si>
  <si>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Popis</t>
  </si>
  <si>
    <t>MJ</t>
  </si>
  <si>
    <t>Množství celkem</t>
  </si>
  <si>
    <t>Cena jednotková D</t>
  </si>
  <si>
    <t>Cena jednotková M</t>
  </si>
  <si>
    <t>Cena celkem D+M</t>
  </si>
  <si>
    <t>Pro všechny položky dodávka včetně montáže</t>
  </si>
  <si>
    <t>#1</t>
  </si>
  <si>
    <t>Rozvodnice VMS 43, 28mod.</t>
  </si>
  <si>
    <t>JISTIC 3-POLOVY CHARAKT."B"</t>
  </si>
  <si>
    <t>LSN10B/3 10A</t>
  </si>
  <si>
    <t>JISTIC 1-POLOVY,CHARAKT."B"</t>
  </si>
  <si>
    <t>LSN16B/1 16A</t>
  </si>
  <si>
    <t>PROUDOVY CHRANIC 2-POLOVY</t>
  </si>
  <si>
    <t>FI16-2p/0.03 typ268,30mA</t>
  </si>
  <si>
    <t>PRISLUSENSTVI PPR</t>
  </si>
  <si>
    <t>6600-45 ucp.vyvod.P21/P21</t>
  </si>
  <si>
    <t>SVETLOMET VENKOVNI</t>
  </si>
  <si>
    <t>GUELL 2,5 C/I, stmívač</t>
  </si>
  <si>
    <t>PRUMYSL.PRACH.VODOT.ZARIVKO</t>
  </si>
  <si>
    <t>VA</t>
  </si>
  <si>
    <t>KRYT PMMA</t>
  </si>
  <si>
    <t>LINEA LED 15660</t>
  </si>
  <si>
    <t>NOUZOVA SVITIDLA</t>
  </si>
  <si>
    <t>NEZAVISLY ZDROJ EL.ENERGIE</t>
  </si>
  <si>
    <t>PALAS-LED-1-M2-ST</t>
  </si>
  <si>
    <t>KRABICOVA ROZVODKA IP 54</t>
  </si>
  <si>
    <t>SE SVORKOVNICI (BETTERMANN)</t>
  </si>
  <si>
    <t>B100 do 10 mm2</t>
  </si>
  <si>
    <t>SPODEK ZASUVKY DOMOVNI "TAN</t>
  </si>
  <si>
    <t>GO" 1002</t>
  </si>
  <si>
    <t>5518-A2340 2p+z,jednoduchy</t>
  </si>
  <si>
    <t>KRYT ZASUVKY "TANGO"</t>
  </si>
  <si>
    <t>BARVA BILA</t>
  </si>
  <si>
    <t>5518A-A2341 Jednoduchy</t>
  </si>
  <si>
    <t>5512-23.9A 2x2p+z,dvojity</t>
  </si>
  <si>
    <t>5512A-2.49 Dvojity</t>
  </si>
  <si>
    <t>STROJEK SPINACE "TANGO"</t>
  </si>
  <si>
    <t>3558-A52340 Dvoj.strid.(5B)</t>
  </si>
  <si>
    <t>KRYT SPINACE "TANGO"</t>
  </si>
  <si>
    <t>3558A-A652 2 packy</t>
  </si>
  <si>
    <t>RAMECEK PRO PRISTROJE "TANG</t>
  </si>
  <si>
    <t>O"  1002</t>
  </si>
  <si>
    <t>3901A-B10 Jednoduchy</t>
  </si>
  <si>
    <t>ZASUVKA TELEFONNI</t>
  </si>
  <si>
    <t>RJ 45</t>
  </si>
  <si>
    <t>KRABICE PRISTROJOVA</t>
  </si>
  <si>
    <t>KU68/2-1901 hloubka 42mm</t>
  </si>
  <si>
    <t>KRABICE ODBOCNA S VICKEM</t>
  </si>
  <si>
    <t>SE SVORKOVNICI</t>
  </si>
  <si>
    <t>KU68/2-1903 hloubka 42mm</t>
  </si>
  <si>
    <t>BEZ SVORKOVNICE</t>
  </si>
  <si>
    <t>KT250x110</t>
  </si>
  <si>
    <t>KABEL SILOVY,IZOLACE PVC</t>
  </si>
  <si>
    <t>CYKY  3x1.5 mm2       pod.omí</t>
  </si>
  <si>
    <t>t m</t>
  </si>
  <si>
    <t>CYKY  3x2.5 mm2       pod.omí</t>
  </si>
  <si>
    <t>CYKY  5x1.5 mm2       pod.omí</t>
  </si>
  <si>
    <t>SDELOVACI KABEL CELOPLAST.,</t>
  </si>
  <si>
    <t>ZDVOJ. PLAST PE,PVC,PAROVY</t>
  </si>
  <si>
    <t>TCEKEY  7 P 1,0 mm    pevně</t>
  </si>
  <si>
    <t>TRUBKA TUHA Z PVC</t>
  </si>
  <si>
    <t>1529 D 29 mm          pevně</t>
  </si>
  <si>
    <t>LISTA-KANAL ELEKTROINSTALAC</t>
  </si>
  <si>
    <t>NI  1123</t>
  </si>
  <si>
    <t>LV40x40 vkladaci</t>
  </si>
  <si>
    <t>HODINOVE ZUCTOVACI SAZBY</t>
  </si>
  <si>
    <t>Montaz</t>
  </si>
  <si>
    <t>hod</t>
  </si>
  <si>
    <t>PROVEDENI REVIZNICH ZKOUSEK</t>
  </si>
  <si>
    <t>DLE CSN 331500</t>
  </si>
  <si>
    <t>Revizni technik</t>
  </si>
  <si>
    <t>Podružný materiál:</t>
  </si>
  <si>
    <t>#2</t>
  </si>
  <si>
    <t>Elektromontáže celkem</t>
  </si>
  <si>
    <t>Celkový čas montážních prací:</t>
  </si>
  <si>
    <t>SEZNAM PRACÍ A DODÁVEK ELEKTROTECHNICKÝCH ZAŘÍZENÍ</t>
  </si>
  <si>
    <t>Akce:</t>
  </si>
  <si>
    <t>Ostrahová věž č.2</t>
  </si>
  <si>
    <t>.č.    :</t>
  </si>
  <si>
    <t>věznice Bělušice</t>
  </si>
  <si>
    <t xml:space="preserve">Projekt: </t>
  </si>
  <si>
    <t>Silnoproudá elektrotechnika</t>
  </si>
  <si>
    <t xml:space="preserve">Investor: </t>
  </si>
  <si>
    <t>Vězeňská služba ČR</t>
  </si>
  <si>
    <t>Smlouva:</t>
  </si>
  <si>
    <t>Zpracovatel: SYVEL plus, s.r.o.</t>
  </si>
  <si>
    <t>ZÁKLADNÍ NÁKLADY:</t>
  </si>
  <si>
    <t>DODÁVKA</t>
  </si>
  <si>
    <t>MONTÁŽ</t>
  </si>
  <si>
    <t>1. Dodávka</t>
  </si>
  <si>
    <t>2. Doprava 3.6%,Přesun 0.0%</t>
  </si>
  <si>
    <t>3. Montáž - materiál</t>
  </si>
  <si>
    <t>4. Montáž - práce</t>
  </si>
  <si>
    <t>#3</t>
  </si>
  <si>
    <t>5. MEZISOUČET</t>
  </si>
  <si>
    <t>7. Nátěry</t>
  </si>
  <si>
    <t>8. Zemní práce</t>
  </si>
  <si>
    <t>9. PPV 1.0% z 7+8.M</t>
  </si>
  <si>
    <t>10. MEZISOUČET</t>
  </si>
  <si>
    <t>11. Dodav. dokumentace 2.0%</t>
  </si>
  <si>
    <t>z 10</t>
  </si>
  <si>
    <t>12. Rizika a pojištění 0.0%</t>
  </si>
  <si>
    <t>13. Opravy v záruce    0.0%</t>
  </si>
  <si>
    <t>z 5</t>
  </si>
  <si>
    <t>14. ZÁKLADNÍ NÁKLADY CELKE</t>
  </si>
  <si>
    <t>M</t>
  </si>
  <si>
    <t>VEDLEJŠÍ NÁKLADY</t>
  </si>
  <si>
    <t>15. GZS 8.40% z 10.M</t>
  </si>
  <si>
    <t>16. Provozní vlivy 6.00% z 1</t>
  </si>
  <si>
    <t>17. VEDLEJŠÍ NÁKLADY CELKE</t>
  </si>
  <si>
    <t>18. Kompletační činnost</t>
  </si>
  <si>
    <t>19. NÁKLADY CELKEM 14+17+1</t>
  </si>
  <si>
    <t>20. Přepočet indexem 0.00 z</t>
  </si>
  <si>
    <t>19 (9 /9</t>
  </si>
  <si>
    <t>)</t>
  </si>
  <si>
    <t>21. Přepočet indexem 0.00 z</t>
  </si>
  <si>
    <t>20 (9 /9</t>
  </si>
  <si>
    <t>UVEDENÉ CENY NEZAHRNUJÍ</t>
  </si>
  <si>
    <t>DAŇ Z PŘI</t>
  </si>
  <si>
    <t>DANÉ HOD</t>
  </si>
  <si>
    <t>NOTY</t>
  </si>
  <si>
    <t>Datum        : 20.3.2018</t>
  </si>
  <si>
    <t>Vypracoval   : T. Kupec</t>
  </si>
  <si>
    <t>Kontroloval  : F. Lerch</t>
  </si>
  <si>
    <t>6. PPV 2.0% z 3+4.M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</si>
</sst>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4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3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6" fillId="35" borderId="38" xfId="46" applyNumberFormat="1" applyFont="1" applyFill="1" applyBorder="1" applyAlignment="1" applyProtection="1">
      <alignment horizontal="center" vertical="center" wrapText="1"/>
      <protection/>
    </xf>
    <xf numFmtId="0" fontId="16" fillId="35" borderId="39" xfId="46" applyNumberFormat="1" applyFont="1" applyFill="1" applyBorder="1" applyAlignment="1" applyProtection="1">
      <alignment horizontal="center" vertical="center" wrapText="1"/>
      <protection/>
    </xf>
    <xf numFmtId="0" fontId="16" fillId="35" borderId="40" xfId="46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49" fontId="14" fillId="0" borderId="42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49" fontId="13" fillId="34" borderId="45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6" fillId="35" borderId="38" xfId="46" applyNumberFormat="1" applyFont="1" applyFill="1" applyBorder="1" applyAlignment="1" applyProtection="1">
      <alignment horizontal="center" vertical="center" wrapText="1"/>
      <protection/>
    </xf>
    <xf numFmtId="0" fontId="17" fillId="35" borderId="38" xfId="46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8" sqref="C8:D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7"/>
      <c r="B1" s="51"/>
      <c r="C1" s="104" t="s">
        <v>949</v>
      </c>
      <c r="D1" s="105"/>
      <c r="E1" s="105"/>
      <c r="F1" s="105"/>
      <c r="G1" s="105"/>
      <c r="H1" s="105"/>
      <c r="I1" s="105"/>
    </row>
    <row r="2" spans="1:10" ht="12.75">
      <c r="A2" s="106" t="s">
        <v>1</v>
      </c>
      <c r="B2" s="107"/>
      <c r="C2" s="108" t="str">
        <f>'Stavební rozpočet'!D2</f>
        <v>Ostrahová věž č. 2 věznice Bělušice</v>
      </c>
      <c r="D2" s="109"/>
      <c r="E2" s="111" t="s">
        <v>854</v>
      </c>
      <c r="F2" s="111" t="str">
        <f>'Stavební rozpočet'!J2</f>
        <v> </v>
      </c>
      <c r="G2" s="107"/>
      <c r="H2" s="111" t="s">
        <v>974</v>
      </c>
      <c r="I2" s="112"/>
      <c r="J2" s="35"/>
    </row>
    <row r="3" spans="1:10" ht="12.75">
      <c r="A3" s="101"/>
      <c r="B3" s="75"/>
      <c r="C3" s="110"/>
      <c r="D3" s="110"/>
      <c r="E3" s="75"/>
      <c r="F3" s="75"/>
      <c r="G3" s="75"/>
      <c r="H3" s="75"/>
      <c r="I3" s="103"/>
      <c r="J3" s="35"/>
    </row>
    <row r="4" spans="1:10" ht="12.75">
      <c r="A4" s="95" t="s">
        <v>2</v>
      </c>
      <c r="B4" s="75"/>
      <c r="C4" s="74" t="str">
        <f>'Stavební rozpočet'!D4</f>
        <v> </v>
      </c>
      <c r="D4" s="75"/>
      <c r="E4" s="74" t="s">
        <v>855</v>
      </c>
      <c r="F4" s="74" t="str">
        <f>'Stavební rozpočet'!J4</f>
        <v> </v>
      </c>
      <c r="G4" s="75"/>
      <c r="H4" s="74" t="s">
        <v>974</v>
      </c>
      <c r="I4" s="102"/>
      <c r="J4" s="35"/>
    </row>
    <row r="5" spans="1:10" ht="12.75">
      <c r="A5" s="101"/>
      <c r="B5" s="75"/>
      <c r="C5" s="75"/>
      <c r="D5" s="75"/>
      <c r="E5" s="75"/>
      <c r="F5" s="75"/>
      <c r="G5" s="75"/>
      <c r="H5" s="75"/>
      <c r="I5" s="103"/>
      <c r="J5" s="35"/>
    </row>
    <row r="6" spans="1:10" ht="12.75">
      <c r="A6" s="95" t="s">
        <v>3</v>
      </c>
      <c r="B6" s="75"/>
      <c r="C6" s="74" t="str">
        <f>'Stavební rozpočet'!D6</f>
        <v> </v>
      </c>
      <c r="D6" s="75"/>
      <c r="E6" s="74" t="s">
        <v>856</v>
      </c>
      <c r="F6" s="74" t="str">
        <f>'Stavební rozpočet'!J6</f>
        <v> </v>
      </c>
      <c r="G6" s="75"/>
      <c r="H6" s="74" t="s">
        <v>974</v>
      </c>
      <c r="I6" s="102"/>
      <c r="J6" s="35"/>
    </row>
    <row r="7" spans="1:10" ht="12.75">
      <c r="A7" s="101"/>
      <c r="B7" s="75"/>
      <c r="C7" s="75"/>
      <c r="D7" s="75"/>
      <c r="E7" s="75"/>
      <c r="F7" s="75"/>
      <c r="G7" s="75"/>
      <c r="H7" s="75"/>
      <c r="I7" s="103"/>
      <c r="J7" s="35"/>
    </row>
    <row r="8" spans="1:10" ht="12.75">
      <c r="A8" s="95" t="s">
        <v>833</v>
      </c>
      <c r="B8" s="75"/>
      <c r="C8" s="74"/>
      <c r="D8" s="75"/>
      <c r="E8" s="74" t="s">
        <v>834</v>
      </c>
      <c r="F8" s="74" t="str">
        <f>'Stavební rozpočet'!G6</f>
        <v> </v>
      </c>
      <c r="G8" s="75"/>
      <c r="H8" s="98" t="s">
        <v>975</v>
      </c>
      <c r="I8" s="102" t="s">
        <v>210</v>
      </c>
      <c r="J8" s="35"/>
    </row>
    <row r="9" spans="1:10" ht="12.75">
      <c r="A9" s="101"/>
      <c r="B9" s="75"/>
      <c r="C9" s="75"/>
      <c r="D9" s="75"/>
      <c r="E9" s="75"/>
      <c r="F9" s="75"/>
      <c r="G9" s="75"/>
      <c r="H9" s="75"/>
      <c r="I9" s="103"/>
      <c r="J9" s="35"/>
    </row>
    <row r="10" spans="1:10" ht="12.75">
      <c r="A10" s="95" t="s">
        <v>4</v>
      </c>
      <c r="B10" s="75"/>
      <c r="C10" s="74" t="str">
        <f>'Stavební rozpočet'!D8</f>
        <v> </v>
      </c>
      <c r="D10" s="75"/>
      <c r="E10" s="74" t="s">
        <v>857</v>
      </c>
      <c r="F10" s="74" t="str">
        <f>'Stavební rozpočet'!J8</f>
        <v> </v>
      </c>
      <c r="G10" s="75"/>
      <c r="H10" s="98" t="s">
        <v>976</v>
      </c>
      <c r="I10" s="99" t="str">
        <f>'Stavební rozpočet'!G8</f>
        <v>24.01.2018</v>
      </c>
      <c r="J10" s="35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100"/>
      <c r="J11" s="35"/>
    </row>
    <row r="12" spans="1:9" ht="23.25" customHeight="1">
      <c r="A12" s="91" t="s">
        <v>934</v>
      </c>
      <c r="B12" s="92"/>
      <c r="C12" s="92"/>
      <c r="D12" s="92"/>
      <c r="E12" s="92"/>
      <c r="F12" s="92"/>
      <c r="G12" s="92"/>
      <c r="H12" s="92"/>
      <c r="I12" s="92"/>
    </row>
    <row r="13" spans="1:10" ht="26.25" customHeight="1">
      <c r="A13" s="52" t="s">
        <v>935</v>
      </c>
      <c r="B13" s="93" t="s">
        <v>947</v>
      </c>
      <c r="C13" s="94"/>
      <c r="D13" s="52" t="s">
        <v>950</v>
      </c>
      <c r="E13" s="93" t="s">
        <v>959</v>
      </c>
      <c r="F13" s="94"/>
      <c r="G13" s="52" t="s">
        <v>960</v>
      </c>
      <c r="H13" s="93" t="s">
        <v>977</v>
      </c>
      <c r="I13" s="94"/>
      <c r="J13" s="35"/>
    </row>
    <row r="14" spans="1:10" ht="15" customHeight="1">
      <c r="A14" s="53" t="s">
        <v>936</v>
      </c>
      <c r="B14" s="57" t="s">
        <v>948</v>
      </c>
      <c r="C14" s="61">
        <f>SUM('Stavební rozpočet'!R12:R441)</f>
        <v>0</v>
      </c>
      <c r="D14" s="89" t="s">
        <v>951</v>
      </c>
      <c r="E14" s="90"/>
      <c r="F14" s="61">
        <v>0</v>
      </c>
      <c r="G14" s="89" t="s">
        <v>961</v>
      </c>
      <c r="H14" s="90"/>
      <c r="I14" s="61">
        <v>0</v>
      </c>
      <c r="J14" s="35"/>
    </row>
    <row r="15" spans="1:10" ht="15" customHeight="1">
      <c r="A15" s="54"/>
      <c r="B15" s="57" t="s">
        <v>858</v>
      </c>
      <c r="C15" s="61">
        <f>SUM('Stavební rozpočet'!S12:S441)</f>
        <v>0</v>
      </c>
      <c r="D15" s="89" t="s">
        <v>952</v>
      </c>
      <c r="E15" s="90"/>
      <c r="F15" s="61">
        <v>0</v>
      </c>
      <c r="G15" s="89" t="s">
        <v>962</v>
      </c>
      <c r="H15" s="90"/>
      <c r="I15" s="61">
        <v>0</v>
      </c>
      <c r="J15" s="35"/>
    </row>
    <row r="16" spans="1:10" ht="15" customHeight="1">
      <c r="A16" s="53" t="s">
        <v>937</v>
      </c>
      <c r="B16" s="57" t="s">
        <v>948</v>
      </c>
      <c r="C16" s="61">
        <f>SUM('Stavební rozpočet'!T12:T441)</f>
        <v>0</v>
      </c>
      <c r="D16" s="89" t="s">
        <v>953</v>
      </c>
      <c r="E16" s="90"/>
      <c r="F16" s="61">
        <v>0</v>
      </c>
      <c r="G16" s="89" t="s">
        <v>963</v>
      </c>
      <c r="H16" s="90"/>
      <c r="I16" s="61">
        <v>0</v>
      </c>
      <c r="J16" s="35"/>
    </row>
    <row r="17" spans="1:10" ht="15" customHeight="1">
      <c r="A17" s="54"/>
      <c r="B17" s="57" t="s">
        <v>858</v>
      </c>
      <c r="C17" s="61">
        <f>SUM('Stavební rozpočet'!U12:U441)</f>
        <v>0</v>
      </c>
      <c r="D17" s="89"/>
      <c r="E17" s="90"/>
      <c r="F17" s="62"/>
      <c r="G17" s="89" t="s">
        <v>964</v>
      </c>
      <c r="H17" s="90"/>
      <c r="I17" s="61">
        <v>0</v>
      </c>
      <c r="J17" s="35"/>
    </row>
    <row r="18" spans="1:10" ht="15" customHeight="1">
      <c r="A18" s="53" t="s">
        <v>938</v>
      </c>
      <c r="B18" s="57" t="s">
        <v>948</v>
      </c>
      <c r="C18" s="61">
        <f>SUM('Stavební rozpočet'!V12:V441)</f>
        <v>0</v>
      </c>
      <c r="D18" s="89"/>
      <c r="E18" s="90"/>
      <c r="F18" s="62"/>
      <c r="G18" s="89" t="s">
        <v>965</v>
      </c>
      <c r="H18" s="90"/>
      <c r="I18" s="61">
        <v>0</v>
      </c>
      <c r="J18" s="35"/>
    </row>
    <row r="19" spans="1:10" ht="15" customHeight="1">
      <c r="A19" s="54"/>
      <c r="B19" s="57" t="s">
        <v>858</v>
      </c>
      <c r="C19" s="61">
        <f>SUM('Stavební rozpočet'!W12:W441)</f>
        <v>0</v>
      </c>
      <c r="D19" s="89"/>
      <c r="E19" s="90"/>
      <c r="F19" s="62"/>
      <c r="G19" s="89" t="s">
        <v>966</v>
      </c>
      <c r="H19" s="90"/>
      <c r="I19" s="61">
        <v>0</v>
      </c>
      <c r="J19" s="35"/>
    </row>
    <row r="20" spans="1:10" ht="15" customHeight="1">
      <c r="A20" s="87" t="s">
        <v>939</v>
      </c>
      <c r="B20" s="88"/>
      <c r="C20" s="61">
        <f>SUM('Stavební rozpočet'!X12:X441)</f>
        <v>0</v>
      </c>
      <c r="D20" s="89"/>
      <c r="E20" s="90"/>
      <c r="F20" s="62"/>
      <c r="G20" s="89"/>
      <c r="H20" s="90"/>
      <c r="I20" s="62"/>
      <c r="J20" s="35"/>
    </row>
    <row r="21" spans="1:10" ht="15" customHeight="1">
      <c r="A21" s="87" t="s">
        <v>940</v>
      </c>
      <c r="B21" s="88"/>
      <c r="C21" s="61">
        <f>SUM('Stavební rozpočet'!P12:P441)</f>
        <v>0</v>
      </c>
      <c r="D21" s="89"/>
      <c r="E21" s="90"/>
      <c r="F21" s="62"/>
      <c r="G21" s="89"/>
      <c r="H21" s="90"/>
      <c r="I21" s="62"/>
      <c r="J21" s="35"/>
    </row>
    <row r="22" spans="1:10" ht="16.5" customHeight="1">
      <c r="A22" s="87" t="s">
        <v>941</v>
      </c>
      <c r="B22" s="88"/>
      <c r="C22" s="61">
        <f>SUM(C14:C21)</f>
        <v>0</v>
      </c>
      <c r="D22" s="87" t="s">
        <v>954</v>
      </c>
      <c r="E22" s="88"/>
      <c r="F22" s="61">
        <f>SUM(F14:F21)</f>
        <v>0</v>
      </c>
      <c r="G22" s="87" t="s">
        <v>967</v>
      </c>
      <c r="H22" s="88"/>
      <c r="I22" s="61">
        <f>ROUND(C22*(8/100),2)</f>
        <v>0</v>
      </c>
      <c r="J22" s="35"/>
    </row>
    <row r="23" spans="1:10" ht="15" customHeight="1">
      <c r="A23" s="8"/>
      <c r="B23" s="8"/>
      <c r="C23" s="59"/>
      <c r="D23" s="87" t="s">
        <v>955</v>
      </c>
      <c r="E23" s="88"/>
      <c r="F23" s="63">
        <v>0</v>
      </c>
      <c r="G23" s="87" t="s">
        <v>968</v>
      </c>
      <c r="H23" s="88"/>
      <c r="I23" s="61">
        <v>0</v>
      </c>
      <c r="J23" s="35"/>
    </row>
    <row r="24" spans="4:10" ht="15" customHeight="1">
      <c r="D24" s="8"/>
      <c r="E24" s="8"/>
      <c r="F24" s="64"/>
      <c r="G24" s="87" t="s">
        <v>969</v>
      </c>
      <c r="H24" s="88"/>
      <c r="I24" s="61">
        <v>0</v>
      </c>
      <c r="J24" s="35"/>
    </row>
    <row r="25" spans="6:10" ht="15" customHeight="1">
      <c r="F25" s="65"/>
      <c r="G25" s="87" t="s">
        <v>970</v>
      </c>
      <c r="H25" s="88"/>
      <c r="I25" s="61">
        <v>0</v>
      </c>
      <c r="J25" s="35"/>
    </row>
    <row r="26" spans="1:9" ht="12.75">
      <c r="A26" s="51"/>
      <c r="B26" s="51"/>
      <c r="C26" s="51"/>
      <c r="G26" s="8"/>
      <c r="H26" s="8"/>
      <c r="I26" s="8"/>
    </row>
    <row r="27" spans="1:9" ht="15" customHeight="1">
      <c r="A27" s="82" t="s">
        <v>942</v>
      </c>
      <c r="B27" s="83"/>
      <c r="C27" s="66">
        <f>SUM('Stavební rozpočet'!Z12:Z441)</f>
        <v>0</v>
      </c>
      <c r="D27" s="60"/>
      <c r="E27" s="51"/>
      <c r="F27" s="51"/>
      <c r="G27" s="51"/>
      <c r="H27" s="51"/>
      <c r="I27" s="51"/>
    </row>
    <row r="28" spans="1:10" ht="15" customHeight="1">
      <c r="A28" s="82" t="s">
        <v>943</v>
      </c>
      <c r="B28" s="83"/>
      <c r="C28" s="66">
        <f>SUM('Stavební rozpočet'!AA12:AA441)</f>
        <v>0</v>
      </c>
      <c r="D28" s="82" t="s">
        <v>956</v>
      </c>
      <c r="E28" s="83"/>
      <c r="F28" s="66">
        <f>ROUND(C28*(15/100),2)</f>
        <v>0</v>
      </c>
      <c r="G28" s="82" t="s">
        <v>971</v>
      </c>
      <c r="H28" s="83"/>
      <c r="I28" s="66">
        <f>SUM(C27:C29)</f>
        <v>0</v>
      </c>
      <c r="J28" s="35"/>
    </row>
    <row r="29" spans="1:10" ht="15" customHeight="1">
      <c r="A29" s="82" t="s">
        <v>944</v>
      </c>
      <c r="B29" s="83"/>
      <c r="C29" s="66">
        <f>SUM('Stavební rozpočet'!AB12:AB441)+(F22+I22+F23+I23+I24+I25)</f>
        <v>0</v>
      </c>
      <c r="D29" s="82" t="s">
        <v>957</v>
      </c>
      <c r="E29" s="83"/>
      <c r="F29" s="66">
        <f>ROUND(C29*(21/100),2)</f>
        <v>0</v>
      </c>
      <c r="G29" s="82" t="s">
        <v>972</v>
      </c>
      <c r="H29" s="83"/>
      <c r="I29" s="66">
        <f>SUM(F28:F29)+I28</f>
        <v>0</v>
      </c>
      <c r="J29" s="35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84" t="s">
        <v>945</v>
      </c>
      <c r="B31" s="85"/>
      <c r="C31" s="86"/>
      <c r="D31" s="84" t="s">
        <v>958</v>
      </c>
      <c r="E31" s="85"/>
      <c r="F31" s="86"/>
      <c r="G31" s="84" t="s">
        <v>973</v>
      </c>
      <c r="H31" s="85"/>
      <c r="I31" s="86"/>
      <c r="J31" s="36"/>
    </row>
    <row r="32" spans="1:10" ht="14.25" customHeight="1">
      <c r="A32" s="76"/>
      <c r="B32" s="77"/>
      <c r="C32" s="78"/>
      <c r="D32" s="76"/>
      <c r="E32" s="77"/>
      <c r="F32" s="78"/>
      <c r="G32" s="76"/>
      <c r="H32" s="77"/>
      <c r="I32" s="78"/>
      <c r="J32" s="36"/>
    </row>
    <row r="33" spans="1:10" ht="14.25" customHeight="1">
      <c r="A33" s="76"/>
      <c r="B33" s="77"/>
      <c r="C33" s="78"/>
      <c r="D33" s="76"/>
      <c r="E33" s="77"/>
      <c r="F33" s="78"/>
      <c r="G33" s="76"/>
      <c r="H33" s="77"/>
      <c r="I33" s="78"/>
      <c r="J33" s="36"/>
    </row>
    <row r="34" spans="1:10" ht="14.25" customHeight="1">
      <c r="A34" s="76"/>
      <c r="B34" s="77"/>
      <c r="C34" s="78"/>
      <c r="D34" s="76"/>
      <c r="E34" s="77"/>
      <c r="F34" s="78"/>
      <c r="G34" s="76"/>
      <c r="H34" s="77"/>
      <c r="I34" s="78"/>
      <c r="J34" s="36"/>
    </row>
    <row r="35" spans="1:10" ht="14.25" customHeight="1">
      <c r="A35" s="79" t="s">
        <v>946</v>
      </c>
      <c r="B35" s="80"/>
      <c r="C35" s="81"/>
      <c r="D35" s="79" t="s">
        <v>946</v>
      </c>
      <c r="E35" s="80"/>
      <c r="F35" s="81"/>
      <c r="G35" s="79" t="s">
        <v>946</v>
      </c>
      <c r="H35" s="80"/>
      <c r="I35" s="81"/>
      <c r="J35" s="36"/>
    </row>
    <row r="36" spans="1:9" ht="11.25" customHeight="1">
      <c r="A36" s="56" t="s">
        <v>211</v>
      </c>
      <c r="B36" s="58"/>
      <c r="C36" s="58"/>
      <c r="D36" s="58"/>
      <c r="E36" s="58"/>
      <c r="F36" s="58"/>
      <c r="G36" s="58"/>
      <c r="H36" s="58"/>
      <c r="I36" s="58"/>
    </row>
    <row r="37" spans="1:9" ht="12.75">
      <c r="A37" s="74"/>
      <c r="B37" s="75"/>
      <c r="C37" s="75"/>
      <c r="D37" s="75"/>
      <c r="E37" s="75"/>
      <c r="F37" s="75"/>
      <c r="G37" s="75"/>
      <c r="H37" s="75"/>
      <c r="I37" s="75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pane ySplit="10" topLeftCell="A14" activePane="bottomLeft" state="frozen"/>
      <selection pane="topLeft" activeCell="D33" sqref="D33:F33"/>
      <selection pane="bottomLeft" activeCell="D33" sqref="D33:F33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16" t="s">
        <v>927</v>
      </c>
      <c r="B1" s="105"/>
      <c r="C1" s="105"/>
      <c r="D1" s="105"/>
      <c r="E1" s="105"/>
      <c r="F1" s="105"/>
      <c r="G1" s="105"/>
    </row>
    <row r="2" spans="1:8" ht="12.75">
      <c r="A2" s="106" t="s">
        <v>1</v>
      </c>
      <c r="B2" s="108" t="str">
        <f>'Stavební rozpočet'!D2</f>
        <v>Ostrahová věž č. 2 věznice Bělušice</v>
      </c>
      <c r="C2" s="109"/>
      <c r="D2" s="111" t="s">
        <v>854</v>
      </c>
      <c r="E2" s="111" t="str">
        <f>'Stavební rozpočet'!J2</f>
        <v> </v>
      </c>
      <c r="F2" s="107"/>
      <c r="G2" s="117"/>
      <c r="H2" s="35"/>
    </row>
    <row r="3" spans="1:8" ht="12.75">
      <c r="A3" s="101"/>
      <c r="B3" s="110"/>
      <c r="C3" s="110"/>
      <c r="D3" s="75"/>
      <c r="E3" s="75"/>
      <c r="F3" s="75"/>
      <c r="G3" s="103"/>
      <c r="H3" s="35"/>
    </row>
    <row r="4" spans="1:8" ht="12.75">
      <c r="A4" s="95" t="s">
        <v>2</v>
      </c>
      <c r="B4" s="74" t="str">
        <f>'Stavební rozpočet'!D4</f>
        <v> </v>
      </c>
      <c r="C4" s="75"/>
      <c r="D4" s="74" t="s">
        <v>855</v>
      </c>
      <c r="E4" s="74" t="str">
        <f>'Stavební rozpočet'!J4</f>
        <v> </v>
      </c>
      <c r="F4" s="75"/>
      <c r="G4" s="103"/>
      <c r="H4" s="35"/>
    </row>
    <row r="5" spans="1:8" ht="12.75">
      <c r="A5" s="101"/>
      <c r="B5" s="75"/>
      <c r="C5" s="75"/>
      <c r="D5" s="75"/>
      <c r="E5" s="75"/>
      <c r="F5" s="75"/>
      <c r="G5" s="103"/>
      <c r="H5" s="35"/>
    </row>
    <row r="6" spans="1:8" ht="12.75">
      <c r="A6" s="95" t="s">
        <v>3</v>
      </c>
      <c r="B6" s="74" t="str">
        <f>'Stavební rozpočet'!D6</f>
        <v> </v>
      </c>
      <c r="C6" s="75"/>
      <c r="D6" s="74" t="s">
        <v>856</v>
      </c>
      <c r="E6" s="74" t="str">
        <f>'Stavební rozpočet'!J6</f>
        <v> </v>
      </c>
      <c r="F6" s="75"/>
      <c r="G6" s="103"/>
      <c r="H6" s="35"/>
    </row>
    <row r="7" spans="1:8" ht="12.75">
      <c r="A7" s="101"/>
      <c r="B7" s="75"/>
      <c r="C7" s="75"/>
      <c r="D7" s="75"/>
      <c r="E7" s="75"/>
      <c r="F7" s="75"/>
      <c r="G7" s="103"/>
      <c r="H7" s="35"/>
    </row>
    <row r="8" spans="1:8" ht="12.75">
      <c r="A8" s="95" t="s">
        <v>857</v>
      </c>
      <c r="B8" s="74" t="str">
        <f>'Stavební rozpočet'!J8</f>
        <v> </v>
      </c>
      <c r="C8" s="75"/>
      <c r="D8" s="98" t="s">
        <v>835</v>
      </c>
      <c r="E8" s="74" t="str">
        <f>'Stavební rozpočet'!G8</f>
        <v>24.01.2018</v>
      </c>
      <c r="F8" s="75"/>
      <c r="G8" s="103"/>
      <c r="H8" s="35"/>
    </row>
    <row r="9" spans="1:8" ht="12.75">
      <c r="A9" s="113"/>
      <c r="B9" s="114"/>
      <c r="C9" s="114"/>
      <c r="D9" s="114"/>
      <c r="E9" s="114"/>
      <c r="F9" s="114"/>
      <c r="G9" s="115"/>
      <c r="H9" s="35"/>
    </row>
    <row r="10" spans="1:8" ht="12.75">
      <c r="A10" s="42" t="s">
        <v>212</v>
      </c>
      <c r="B10" s="44" t="s">
        <v>213</v>
      </c>
      <c r="C10" s="45" t="s">
        <v>928</v>
      </c>
      <c r="D10" s="46" t="s">
        <v>929</v>
      </c>
      <c r="E10" s="46" t="s">
        <v>930</v>
      </c>
      <c r="F10" s="46" t="s">
        <v>931</v>
      </c>
      <c r="G10" s="48" t="s">
        <v>932</v>
      </c>
      <c r="H10" s="36"/>
    </row>
    <row r="11" spans="1:9" ht="12.75">
      <c r="A11" s="43"/>
      <c r="B11" s="43" t="s">
        <v>17</v>
      </c>
      <c r="C11" s="43" t="s">
        <v>435</v>
      </c>
      <c r="D11" s="49">
        <f>'Stavební rozpočet'!H12</f>
        <v>0</v>
      </c>
      <c r="E11" s="49">
        <f>'Stavební rozpočet'!I12</f>
        <v>0</v>
      </c>
      <c r="F11" s="49">
        <f aca="true" t="shared" si="0" ref="F11:F49">D11+E11</f>
        <v>0</v>
      </c>
      <c r="G11" s="49">
        <f>'Stavební rozpočet'!L12</f>
        <v>0.09912</v>
      </c>
      <c r="H11" s="37" t="s">
        <v>933</v>
      </c>
      <c r="I11" s="37">
        <f aca="true" t="shared" si="1" ref="I11:I49">IF(H11="F",0,F11)</f>
        <v>0</v>
      </c>
    </row>
    <row r="12" spans="1:9" ht="12.75">
      <c r="A12" s="17"/>
      <c r="B12" s="17" t="s">
        <v>18</v>
      </c>
      <c r="C12" s="17" t="s">
        <v>437</v>
      </c>
      <c r="D12" s="37">
        <f>'Stavební rozpočet'!H14</f>
        <v>0</v>
      </c>
      <c r="E12" s="37">
        <f>'Stavební rozpočet'!I14</f>
        <v>0</v>
      </c>
      <c r="F12" s="37">
        <f t="shared" si="0"/>
        <v>0</v>
      </c>
      <c r="G12" s="37">
        <f>'Stavební rozpočet'!L14</f>
        <v>6.302</v>
      </c>
      <c r="H12" s="37" t="s">
        <v>933</v>
      </c>
      <c r="I12" s="37">
        <f t="shared" si="1"/>
        <v>0</v>
      </c>
    </row>
    <row r="13" spans="1:9" ht="12.75">
      <c r="A13" s="17"/>
      <c r="B13" s="17" t="s">
        <v>19</v>
      </c>
      <c r="C13" s="17" t="s">
        <v>440</v>
      </c>
      <c r="D13" s="37">
        <f>'Stavební rozpočet'!H17</f>
        <v>0</v>
      </c>
      <c r="E13" s="37">
        <f>'Stavební rozpočet'!I17</f>
        <v>0</v>
      </c>
      <c r="F13" s="37">
        <f t="shared" si="0"/>
        <v>0</v>
      </c>
      <c r="G13" s="37">
        <f>'Stavební rozpočet'!L17</f>
        <v>0</v>
      </c>
      <c r="H13" s="37" t="s">
        <v>933</v>
      </c>
      <c r="I13" s="37">
        <f t="shared" si="1"/>
        <v>0</v>
      </c>
    </row>
    <row r="14" spans="1:9" ht="12.75">
      <c r="A14" s="17"/>
      <c r="B14" s="17" t="s">
        <v>22</v>
      </c>
      <c r="C14" s="17" t="s">
        <v>446</v>
      </c>
      <c r="D14" s="37">
        <f>'Stavební rozpočet'!H23</f>
        <v>0</v>
      </c>
      <c r="E14" s="37">
        <f>'Stavební rozpočet'!I23</f>
        <v>0</v>
      </c>
      <c r="F14" s="37">
        <f t="shared" si="0"/>
        <v>0</v>
      </c>
      <c r="G14" s="37">
        <f>'Stavební rozpočet'!L23</f>
        <v>0</v>
      </c>
      <c r="H14" s="37" t="s">
        <v>933</v>
      </c>
      <c r="I14" s="37">
        <f t="shared" si="1"/>
        <v>0</v>
      </c>
    </row>
    <row r="15" spans="1:9" ht="12.75">
      <c r="A15" s="17"/>
      <c r="B15" s="17" t="s">
        <v>23</v>
      </c>
      <c r="C15" s="17" t="s">
        <v>455</v>
      </c>
      <c r="D15" s="37">
        <f>'Stavební rozpočet'!H32</f>
        <v>0</v>
      </c>
      <c r="E15" s="37">
        <f>'Stavební rozpočet'!I32</f>
        <v>0</v>
      </c>
      <c r="F15" s="37">
        <f t="shared" si="0"/>
        <v>0</v>
      </c>
      <c r="G15" s="37">
        <f>'Stavební rozpočet'!L32</f>
        <v>10.73</v>
      </c>
      <c r="H15" s="37" t="s">
        <v>933</v>
      </c>
      <c r="I15" s="37">
        <f t="shared" si="1"/>
        <v>0</v>
      </c>
    </row>
    <row r="16" spans="1:9" ht="12.75">
      <c r="A16" s="17"/>
      <c r="B16" s="17" t="s">
        <v>33</v>
      </c>
      <c r="C16" s="17" t="s">
        <v>463</v>
      </c>
      <c r="D16" s="37">
        <f>'Stavební rozpočet'!H40</f>
        <v>0</v>
      </c>
      <c r="E16" s="37">
        <f>'Stavební rozpočet'!I40</f>
        <v>0</v>
      </c>
      <c r="F16" s="37">
        <f t="shared" si="0"/>
        <v>0</v>
      </c>
      <c r="G16" s="37">
        <f>'Stavební rozpočet'!L40</f>
        <v>7.2375856</v>
      </c>
      <c r="H16" s="37" t="s">
        <v>933</v>
      </c>
      <c r="I16" s="37">
        <f t="shared" si="1"/>
        <v>0</v>
      </c>
    </row>
    <row r="17" spans="1:9" ht="12.75">
      <c r="A17" s="17"/>
      <c r="B17" s="17" t="s">
        <v>37</v>
      </c>
      <c r="C17" s="17" t="s">
        <v>483</v>
      </c>
      <c r="D17" s="37">
        <f>'Stavební rozpočet'!H61</f>
        <v>0</v>
      </c>
      <c r="E17" s="37">
        <f>'Stavební rozpočet'!I61</f>
        <v>0</v>
      </c>
      <c r="F17" s="37">
        <f t="shared" si="0"/>
        <v>0</v>
      </c>
      <c r="G17" s="37">
        <f>'Stavební rozpočet'!L61</f>
        <v>15.9438227</v>
      </c>
      <c r="H17" s="37" t="s">
        <v>933</v>
      </c>
      <c r="I17" s="37">
        <f t="shared" si="1"/>
        <v>0</v>
      </c>
    </row>
    <row r="18" spans="1:9" ht="12.75">
      <c r="A18" s="17"/>
      <c r="B18" s="17" t="s">
        <v>39</v>
      </c>
      <c r="C18" s="17" t="s">
        <v>502</v>
      </c>
      <c r="D18" s="37">
        <f>'Stavební rozpočet'!H81</f>
        <v>0</v>
      </c>
      <c r="E18" s="37">
        <f>'Stavební rozpočet'!I81</f>
        <v>0</v>
      </c>
      <c r="F18" s="37">
        <f t="shared" si="0"/>
        <v>0</v>
      </c>
      <c r="G18" s="37">
        <f>'Stavební rozpočet'!L81</f>
        <v>0.48055280000000006</v>
      </c>
      <c r="H18" s="37" t="s">
        <v>933</v>
      </c>
      <c r="I18" s="37">
        <f t="shared" si="1"/>
        <v>0</v>
      </c>
    </row>
    <row r="19" spans="1:9" ht="12.75">
      <c r="A19" s="17"/>
      <c r="B19" s="17" t="s">
        <v>40</v>
      </c>
      <c r="C19" s="17" t="s">
        <v>505</v>
      </c>
      <c r="D19" s="37">
        <f>'Stavební rozpočet'!H84</f>
        <v>0</v>
      </c>
      <c r="E19" s="37">
        <f>'Stavební rozpočet'!I84</f>
        <v>0</v>
      </c>
      <c r="F19" s="37">
        <f t="shared" si="0"/>
        <v>0</v>
      </c>
      <c r="G19" s="37">
        <f>'Stavební rozpočet'!L84</f>
        <v>0.2375745</v>
      </c>
      <c r="H19" s="37" t="s">
        <v>933</v>
      </c>
      <c r="I19" s="37">
        <f t="shared" si="1"/>
        <v>0</v>
      </c>
    </row>
    <row r="20" spans="1:9" ht="12.75">
      <c r="A20" s="17"/>
      <c r="B20" s="17" t="s">
        <v>47</v>
      </c>
      <c r="C20" s="17" t="s">
        <v>511</v>
      </c>
      <c r="D20" s="37">
        <f>'Stavební rozpočet'!H90</f>
        <v>0</v>
      </c>
      <c r="E20" s="37">
        <f>'Stavební rozpočet'!I90</f>
        <v>0</v>
      </c>
      <c r="F20" s="37">
        <f t="shared" si="0"/>
        <v>0</v>
      </c>
      <c r="G20" s="37">
        <f>'Stavební rozpočet'!L90</f>
        <v>10.1716944</v>
      </c>
      <c r="H20" s="37" t="s">
        <v>933</v>
      </c>
      <c r="I20" s="37">
        <f t="shared" si="1"/>
        <v>0</v>
      </c>
    </row>
    <row r="21" spans="1:9" ht="12.75">
      <c r="A21" s="17"/>
      <c r="B21" s="17" t="s">
        <v>62</v>
      </c>
      <c r="C21" s="17" t="s">
        <v>564</v>
      </c>
      <c r="D21" s="37">
        <f>'Stavební rozpočet'!H146</f>
        <v>0</v>
      </c>
      <c r="E21" s="37">
        <f>'Stavební rozpočet'!I146</f>
        <v>0</v>
      </c>
      <c r="F21" s="37">
        <f t="shared" si="0"/>
        <v>0</v>
      </c>
      <c r="G21" s="37">
        <f>'Stavební rozpočet'!L146</f>
        <v>4.5423</v>
      </c>
      <c r="H21" s="37" t="s">
        <v>933</v>
      </c>
      <c r="I21" s="37">
        <f t="shared" si="1"/>
        <v>0</v>
      </c>
    </row>
    <row r="22" spans="1:9" ht="12.75">
      <c r="A22" s="17"/>
      <c r="B22" s="17" t="s">
        <v>65</v>
      </c>
      <c r="C22" s="17" t="s">
        <v>566</v>
      </c>
      <c r="D22" s="37">
        <f>'Stavební rozpočet'!H148</f>
        <v>0</v>
      </c>
      <c r="E22" s="37">
        <f>'Stavební rozpočet'!I148</f>
        <v>0</v>
      </c>
      <c r="F22" s="37">
        <f t="shared" si="0"/>
        <v>0</v>
      </c>
      <c r="G22" s="37">
        <f>'Stavební rozpočet'!L148</f>
        <v>1.744561</v>
      </c>
      <c r="H22" s="37" t="s">
        <v>933</v>
      </c>
      <c r="I22" s="37">
        <f t="shared" si="1"/>
        <v>0</v>
      </c>
    </row>
    <row r="23" spans="1:9" ht="12.75">
      <c r="A23" s="17"/>
      <c r="B23" s="17" t="s">
        <v>66</v>
      </c>
      <c r="C23" s="17" t="s">
        <v>573</v>
      </c>
      <c r="D23" s="37">
        <f>'Stavební rozpočet'!H156</f>
        <v>0</v>
      </c>
      <c r="E23" s="37">
        <f>'Stavební rozpočet'!I156</f>
        <v>0</v>
      </c>
      <c r="F23" s="37">
        <f t="shared" si="0"/>
        <v>0</v>
      </c>
      <c r="G23" s="37">
        <f>'Stavební rozpočet'!L156</f>
        <v>0.027955199999999996</v>
      </c>
      <c r="H23" s="37" t="s">
        <v>933</v>
      </c>
      <c r="I23" s="37">
        <f t="shared" si="1"/>
        <v>0</v>
      </c>
    </row>
    <row r="24" spans="1:9" ht="12.75">
      <c r="A24" s="17"/>
      <c r="B24" s="17" t="s">
        <v>67</v>
      </c>
      <c r="C24" s="17" t="s">
        <v>578</v>
      </c>
      <c r="D24" s="37">
        <f>'Stavební rozpočet'!H161</f>
        <v>0</v>
      </c>
      <c r="E24" s="37">
        <f>'Stavební rozpočet'!I161</f>
        <v>0</v>
      </c>
      <c r="F24" s="37">
        <f t="shared" si="0"/>
        <v>0</v>
      </c>
      <c r="G24" s="37">
        <f>'Stavební rozpočet'!L161</f>
        <v>1.7689229000000002</v>
      </c>
      <c r="H24" s="37" t="s">
        <v>933</v>
      </c>
      <c r="I24" s="37">
        <f t="shared" si="1"/>
        <v>0</v>
      </c>
    </row>
    <row r="25" spans="1:9" ht="12.75">
      <c r="A25" s="17"/>
      <c r="B25" s="17" t="s">
        <v>68</v>
      </c>
      <c r="C25" s="17" t="s">
        <v>588</v>
      </c>
      <c r="D25" s="37">
        <f>'Stavební rozpočet'!H171</f>
        <v>0</v>
      </c>
      <c r="E25" s="37">
        <f>'Stavební rozpočet'!I171</f>
        <v>0</v>
      </c>
      <c r="F25" s="37">
        <f t="shared" si="0"/>
        <v>0</v>
      </c>
      <c r="G25" s="37">
        <f>'Stavební rozpočet'!L171</f>
        <v>0.5887685</v>
      </c>
      <c r="H25" s="37" t="s">
        <v>933</v>
      </c>
      <c r="I25" s="37">
        <f t="shared" si="1"/>
        <v>0</v>
      </c>
    </row>
    <row r="26" spans="1:9" ht="12.75">
      <c r="A26" s="17"/>
      <c r="B26" s="17" t="s">
        <v>69</v>
      </c>
      <c r="C26" s="17" t="s">
        <v>611</v>
      </c>
      <c r="D26" s="37">
        <f>'Stavební rozpočet'!H198</f>
        <v>0</v>
      </c>
      <c r="E26" s="37">
        <f>'Stavební rozpočet'!I198</f>
        <v>0</v>
      </c>
      <c r="F26" s="37">
        <f t="shared" si="0"/>
        <v>0</v>
      </c>
      <c r="G26" s="37">
        <f>'Stavební rozpočet'!L198</f>
        <v>2.1384815</v>
      </c>
      <c r="H26" s="37" t="s">
        <v>933</v>
      </c>
      <c r="I26" s="37">
        <f t="shared" si="1"/>
        <v>0</v>
      </c>
    </row>
    <row r="27" spans="1:9" ht="12.75">
      <c r="A27" s="17"/>
      <c r="B27" s="17" t="s">
        <v>70</v>
      </c>
      <c r="C27" s="17" t="s">
        <v>622</v>
      </c>
      <c r="D27" s="37">
        <f>'Stavební rozpočet'!H211</f>
        <v>0</v>
      </c>
      <c r="E27" s="37">
        <f>'Stavební rozpočet'!I211</f>
        <v>0</v>
      </c>
      <c r="F27" s="37">
        <f t="shared" si="0"/>
        <v>0</v>
      </c>
      <c r="G27" s="37">
        <f>'Stavební rozpočet'!L211</f>
        <v>0.01897</v>
      </c>
      <c r="H27" s="37" t="s">
        <v>933</v>
      </c>
      <c r="I27" s="37">
        <f t="shared" si="1"/>
        <v>0</v>
      </c>
    </row>
    <row r="28" spans="1:9" ht="12.75">
      <c r="A28" s="17"/>
      <c r="B28" s="17" t="s">
        <v>294</v>
      </c>
      <c r="C28" s="17" t="s">
        <v>627</v>
      </c>
      <c r="D28" s="37">
        <f>'Stavební rozpočet'!H216</f>
        <v>0</v>
      </c>
      <c r="E28" s="37">
        <f>'Stavební rozpočet'!I216</f>
        <v>0</v>
      </c>
      <c r="F28" s="37">
        <f t="shared" si="0"/>
        <v>0</v>
      </c>
      <c r="G28" s="37">
        <f>'Stavební rozpočet'!L216</f>
        <v>0.1549052</v>
      </c>
      <c r="H28" s="37" t="s">
        <v>933</v>
      </c>
      <c r="I28" s="37">
        <f t="shared" si="1"/>
        <v>0</v>
      </c>
    </row>
    <row r="29" spans="1:9" ht="12.75">
      <c r="A29" s="17"/>
      <c r="B29" s="17" t="s">
        <v>302</v>
      </c>
      <c r="C29" s="17" t="s">
        <v>643</v>
      </c>
      <c r="D29" s="37">
        <f>'Stavební rozpočet'!H235</f>
        <v>0</v>
      </c>
      <c r="E29" s="37">
        <f>'Stavební rozpočet'!I235</f>
        <v>0</v>
      </c>
      <c r="F29" s="37">
        <f t="shared" si="0"/>
        <v>0</v>
      </c>
      <c r="G29" s="37">
        <f>'Stavební rozpočet'!L235</f>
        <v>0.0601271</v>
      </c>
      <c r="H29" s="37" t="s">
        <v>933</v>
      </c>
      <c r="I29" s="37">
        <f t="shared" si="1"/>
        <v>0</v>
      </c>
    </row>
    <row r="30" spans="1:9" ht="12.75">
      <c r="A30" s="17"/>
      <c r="B30" s="17" t="s">
        <v>310</v>
      </c>
      <c r="C30" s="17" t="s">
        <v>658</v>
      </c>
      <c r="D30" s="37">
        <f>'Stavební rozpočet'!H251</f>
        <v>0</v>
      </c>
      <c r="E30" s="37">
        <f>'Stavební rozpočet'!I251</f>
        <v>0</v>
      </c>
      <c r="F30" s="37">
        <f t="shared" si="0"/>
        <v>0</v>
      </c>
      <c r="G30" s="37">
        <f>'Stavební rozpočet'!L251</f>
        <v>0.07521259999999999</v>
      </c>
      <c r="H30" s="37" t="s">
        <v>933</v>
      </c>
      <c r="I30" s="37">
        <f t="shared" si="1"/>
        <v>0</v>
      </c>
    </row>
    <row r="31" spans="1:9" ht="12.75">
      <c r="A31" s="17"/>
      <c r="B31" s="17" t="s">
        <v>319</v>
      </c>
      <c r="C31" s="17" t="s">
        <v>678</v>
      </c>
      <c r="D31" s="37">
        <f>'Stavební rozpočet'!H272</f>
        <v>0</v>
      </c>
      <c r="E31" s="37">
        <f>'Stavební rozpočet'!I272</f>
        <v>0</v>
      </c>
      <c r="F31" s="37">
        <f t="shared" si="0"/>
        <v>0</v>
      </c>
      <c r="G31" s="37">
        <f>'Stavební rozpočet'!L272</f>
        <v>0.10385</v>
      </c>
      <c r="H31" s="37" t="s">
        <v>933</v>
      </c>
      <c r="I31" s="37">
        <f t="shared" si="1"/>
        <v>0</v>
      </c>
    </row>
    <row r="32" spans="1:9" ht="12.75">
      <c r="A32" s="17"/>
      <c r="B32" s="17" t="s">
        <v>331</v>
      </c>
      <c r="C32" s="17" t="s">
        <v>690</v>
      </c>
      <c r="D32" s="37">
        <f>'Stavební rozpočet'!H284</f>
        <v>0</v>
      </c>
      <c r="E32" s="37">
        <f>'Stavební rozpočet'!I284</f>
        <v>0</v>
      </c>
      <c r="F32" s="37">
        <f t="shared" si="0"/>
        <v>0</v>
      </c>
      <c r="G32" s="37">
        <f>'Stavební rozpočet'!L284</f>
        <v>0.15540999999999996</v>
      </c>
      <c r="H32" s="37" t="s">
        <v>933</v>
      </c>
      <c r="I32" s="37">
        <f t="shared" si="1"/>
        <v>0</v>
      </c>
    </row>
    <row r="33" spans="1:9" ht="12.75">
      <c r="A33" s="17"/>
      <c r="B33" s="17" t="s">
        <v>341</v>
      </c>
      <c r="C33" s="17" t="s">
        <v>701</v>
      </c>
      <c r="D33" s="37">
        <f>'Stavební rozpočet'!H296</f>
        <v>0</v>
      </c>
      <c r="E33" s="37">
        <f>'Stavební rozpočet'!I296</f>
        <v>0</v>
      </c>
      <c r="F33" s="37">
        <f t="shared" si="0"/>
        <v>0</v>
      </c>
      <c r="G33" s="37">
        <f>'Stavební rozpočet'!L296</f>
        <v>0.09305999999999999</v>
      </c>
      <c r="H33" s="37" t="s">
        <v>933</v>
      </c>
      <c r="I33" s="37">
        <f t="shared" si="1"/>
        <v>0</v>
      </c>
    </row>
    <row r="34" spans="1:9" ht="12.75">
      <c r="A34" s="17"/>
      <c r="B34" s="17" t="s">
        <v>350</v>
      </c>
      <c r="C34" s="17" t="s">
        <v>710</v>
      </c>
      <c r="D34" s="37">
        <f>'Stavební rozpočet'!H305</f>
        <v>0</v>
      </c>
      <c r="E34" s="37">
        <f>'Stavební rozpočet'!I305</f>
        <v>0</v>
      </c>
      <c r="F34" s="37">
        <f t="shared" si="0"/>
        <v>0</v>
      </c>
      <c r="G34" s="37">
        <f>'Stavební rozpočet'!L305</f>
        <v>0.01598</v>
      </c>
      <c r="H34" s="37" t="s">
        <v>933</v>
      </c>
      <c r="I34" s="37">
        <f t="shared" si="1"/>
        <v>0</v>
      </c>
    </row>
    <row r="35" spans="1:9" ht="12.75">
      <c r="A35" s="17"/>
      <c r="B35" s="17" t="s">
        <v>354</v>
      </c>
      <c r="C35" s="17" t="s">
        <v>714</v>
      </c>
      <c r="D35" s="37">
        <f>'Stavební rozpočet'!H309</f>
        <v>0</v>
      </c>
      <c r="E35" s="37">
        <f>'Stavební rozpočet'!I309</f>
        <v>0</v>
      </c>
      <c r="F35" s="37">
        <f t="shared" si="0"/>
        <v>0</v>
      </c>
      <c r="G35" s="37">
        <f>'Stavební rozpočet'!L309</f>
        <v>0.050365400000000005</v>
      </c>
      <c r="H35" s="37" t="s">
        <v>933</v>
      </c>
      <c r="I35" s="37">
        <f t="shared" si="1"/>
        <v>0</v>
      </c>
    </row>
    <row r="36" spans="1:9" ht="12.75">
      <c r="A36" s="17"/>
      <c r="B36" s="17" t="s">
        <v>365</v>
      </c>
      <c r="C36" s="17" t="s">
        <v>727</v>
      </c>
      <c r="D36" s="37">
        <f>'Stavební rozpočet'!H325</f>
        <v>0</v>
      </c>
      <c r="E36" s="37">
        <f>'Stavební rozpočet'!I325</f>
        <v>0</v>
      </c>
      <c r="F36" s="37">
        <f t="shared" si="0"/>
        <v>0</v>
      </c>
      <c r="G36" s="37">
        <f>'Stavební rozpočet'!L325</f>
        <v>0.26710999999999996</v>
      </c>
      <c r="H36" s="37" t="s">
        <v>933</v>
      </c>
      <c r="I36" s="37">
        <f t="shared" si="1"/>
        <v>0</v>
      </c>
    </row>
    <row r="37" spans="1:9" ht="12.75">
      <c r="A37" s="17"/>
      <c r="B37" s="17" t="s">
        <v>381</v>
      </c>
      <c r="C37" s="17" t="s">
        <v>744</v>
      </c>
      <c r="D37" s="37">
        <f>'Stavební rozpočet'!H342</f>
        <v>0</v>
      </c>
      <c r="E37" s="37">
        <f>'Stavební rozpočet'!I342</f>
        <v>0</v>
      </c>
      <c r="F37" s="37">
        <f t="shared" si="0"/>
        <v>0</v>
      </c>
      <c r="G37" s="37">
        <f>'Stavební rozpočet'!L342</f>
        <v>0.6578550000000002</v>
      </c>
      <c r="H37" s="37" t="s">
        <v>933</v>
      </c>
      <c r="I37" s="37">
        <f t="shared" si="1"/>
        <v>0</v>
      </c>
    </row>
    <row r="38" spans="1:9" ht="12.75">
      <c r="A38" s="17"/>
      <c r="B38" s="17" t="s">
        <v>394</v>
      </c>
      <c r="C38" s="17" t="s">
        <v>767</v>
      </c>
      <c r="D38" s="37">
        <f>'Stavební rozpočet'!H369</f>
        <v>0</v>
      </c>
      <c r="E38" s="37">
        <f>'Stavební rozpočet'!I369</f>
        <v>0</v>
      </c>
      <c r="F38" s="37">
        <f t="shared" si="0"/>
        <v>0</v>
      </c>
      <c r="G38" s="37">
        <f>'Stavební rozpočet'!L369</f>
        <v>0.0568547</v>
      </c>
      <c r="H38" s="37" t="s">
        <v>933</v>
      </c>
      <c r="I38" s="37">
        <f t="shared" si="1"/>
        <v>0</v>
      </c>
    </row>
    <row r="39" spans="1:9" ht="12.75">
      <c r="A39" s="17"/>
      <c r="B39" s="17" t="s">
        <v>399</v>
      </c>
      <c r="C39" s="17" t="s">
        <v>776</v>
      </c>
      <c r="D39" s="37">
        <f>'Stavební rozpočet'!H379</f>
        <v>0</v>
      </c>
      <c r="E39" s="37">
        <f>'Stavební rozpočet'!I379</f>
        <v>0</v>
      </c>
      <c r="F39" s="37">
        <f t="shared" si="0"/>
        <v>0</v>
      </c>
      <c r="G39" s="37">
        <f>'Stavební rozpočet'!L379</f>
        <v>0.143661</v>
      </c>
      <c r="H39" s="37" t="s">
        <v>933</v>
      </c>
      <c r="I39" s="37">
        <f t="shared" si="1"/>
        <v>0</v>
      </c>
    </row>
    <row r="40" spans="1:9" ht="12.75">
      <c r="A40" s="17"/>
      <c r="B40" s="17" t="s">
        <v>404</v>
      </c>
      <c r="C40" s="17" t="s">
        <v>784</v>
      </c>
      <c r="D40" s="37">
        <f>'Stavební rozpočet'!H388</f>
        <v>0</v>
      </c>
      <c r="E40" s="37">
        <f>'Stavební rozpočet'!I388</f>
        <v>0</v>
      </c>
      <c r="F40" s="37">
        <f t="shared" si="0"/>
        <v>0</v>
      </c>
      <c r="G40" s="37">
        <f>'Stavební rozpočet'!L388</f>
        <v>0.00152</v>
      </c>
      <c r="H40" s="37" t="s">
        <v>933</v>
      </c>
      <c r="I40" s="37">
        <f t="shared" si="1"/>
        <v>0</v>
      </c>
    </row>
    <row r="41" spans="1:9" ht="12.75">
      <c r="A41" s="17"/>
      <c r="B41" s="17" t="s">
        <v>407</v>
      </c>
      <c r="C41" s="17" t="s">
        <v>789</v>
      </c>
      <c r="D41" s="37">
        <f>'Stavební rozpočet'!H393</f>
        <v>0</v>
      </c>
      <c r="E41" s="37">
        <f>'Stavební rozpočet'!I393</f>
        <v>0</v>
      </c>
      <c r="F41" s="37">
        <f t="shared" si="0"/>
        <v>0</v>
      </c>
      <c r="G41" s="37">
        <f>'Stavební rozpočet'!L393</f>
        <v>0.009510300000000001</v>
      </c>
      <c r="H41" s="37" t="s">
        <v>933</v>
      </c>
      <c r="I41" s="37">
        <f t="shared" si="1"/>
        <v>0</v>
      </c>
    </row>
    <row r="42" spans="1:9" ht="12.75">
      <c r="A42" s="17"/>
      <c r="B42" s="17" t="s">
        <v>411</v>
      </c>
      <c r="C42" s="17" t="s">
        <v>795</v>
      </c>
      <c r="D42" s="37">
        <f>'Stavební rozpočet'!H405</f>
        <v>0</v>
      </c>
      <c r="E42" s="37">
        <f>'Stavební rozpočet'!I405</f>
        <v>0</v>
      </c>
      <c r="F42" s="37">
        <f t="shared" si="0"/>
        <v>0</v>
      </c>
      <c r="G42" s="37">
        <f>'Stavební rozpočet'!L405</f>
        <v>0</v>
      </c>
      <c r="H42" s="37" t="s">
        <v>933</v>
      </c>
      <c r="I42" s="37">
        <f t="shared" si="1"/>
        <v>0</v>
      </c>
    </row>
    <row r="43" spans="1:9" ht="12.75">
      <c r="A43" s="17"/>
      <c r="B43" s="17" t="s">
        <v>97</v>
      </c>
      <c r="C43" s="17" t="s">
        <v>798</v>
      </c>
      <c r="D43" s="37">
        <f>'Stavební rozpočet'!H408</f>
        <v>0</v>
      </c>
      <c r="E43" s="37">
        <f>'Stavební rozpočet'!I408</f>
        <v>0</v>
      </c>
      <c r="F43" s="37">
        <f t="shared" si="0"/>
        <v>0</v>
      </c>
      <c r="G43" s="37">
        <f>'Stavební rozpočet'!L408</f>
        <v>1.09375</v>
      </c>
      <c r="H43" s="37" t="s">
        <v>933</v>
      </c>
      <c r="I43" s="37">
        <f t="shared" si="1"/>
        <v>0</v>
      </c>
    </row>
    <row r="44" spans="1:9" ht="12.75">
      <c r="A44" s="17"/>
      <c r="B44" s="17" t="s">
        <v>100</v>
      </c>
      <c r="C44" s="17" t="s">
        <v>802</v>
      </c>
      <c r="D44" s="37">
        <f>'Stavební rozpočet'!H412</f>
        <v>0</v>
      </c>
      <c r="E44" s="37">
        <f>'Stavební rozpočet'!I412</f>
        <v>0</v>
      </c>
      <c r="F44" s="37">
        <f t="shared" si="0"/>
        <v>0</v>
      </c>
      <c r="G44" s="37">
        <f>'Stavební rozpočet'!L412</f>
        <v>1.2318956</v>
      </c>
      <c r="H44" s="37" t="s">
        <v>933</v>
      </c>
      <c r="I44" s="37">
        <f t="shared" si="1"/>
        <v>0</v>
      </c>
    </row>
    <row r="45" spans="1:9" ht="12.75">
      <c r="A45" s="17"/>
      <c r="B45" s="17" t="s">
        <v>101</v>
      </c>
      <c r="C45" s="17" t="s">
        <v>809</v>
      </c>
      <c r="D45" s="37">
        <f>'Stavební rozpočet'!H419</f>
        <v>0</v>
      </c>
      <c r="E45" s="37">
        <f>'Stavební rozpočet'!I419</f>
        <v>0</v>
      </c>
      <c r="F45" s="37">
        <f t="shared" si="0"/>
        <v>0</v>
      </c>
      <c r="G45" s="37">
        <f>'Stavební rozpočet'!L419</f>
        <v>0.0781792</v>
      </c>
      <c r="H45" s="37" t="s">
        <v>933</v>
      </c>
      <c r="I45" s="37">
        <f t="shared" si="1"/>
        <v>0</v>
      </c>
    </row>
    <row r="46" spans="1:9" ht="12.75">
      <c r="A46" s="17"/>
      <c r="B46" s="17" t="s">
        <v>102</v>
      </c>
      <c r="C46" s="17" t="s">
        <v>814</v>
      </c>
      <c r="D46" s="37">
        <f>'Stavební rozpočet'!H424</f>
        <v>0</v>
      </c>
      <c r="E46" s="37">
        <f>'Stavební rozpočet'!I424</f>
        <v>0</v>
      </c>
      <c r="F46" s="37">
        <f t="shared" si="0"/>
        <v>0</v>
      </c>
      <c r="G46" s="37">
        <f>'Stavební rozpočet'!L424</f>
        <v>1.8585000000000003</v>
      </c>
      <c r="H46" s="37" t="s">
        <v>933</v>
      </c>
      <c r="I46" s="37">
        <f t="shared" si="1"/>
        <v>0</v>
      </c>
    </row>
    <row r="47" spans="1:9" ht="12.75">
      <c r="A47" s="17"/>
      <c r="B47" s="17" t="s">
        <v>103</v>
      </c>
      <c r="C47" s="17" t="s">
        <v>819</v>
      </c>
      <c r="D47" s="37">
        <f>'Stavební rozpočet'!H429</f>
        <v>0</v>
      </c>
      <c r="E47" s="37">
        <f>'Stavební rozpočet'!I429</f>
        <v>0</v>
      </c>
      <c r="F47" s="37">
        <f t="shared" si="0"/>
        <v>0</v>
      </c>
      <c r="G47" s="37">
        <f>'Stavební rozpočet'!L429</f>
        <v>0.23736</v>
      </c>
      <c r="H47" s="37" t="s">
        <v>933</v>
      </c>
      <c r="I47" s="37">
        <f t="shared" si="1"/>
        <v>0</v>
      </c>
    </row>
    <row r="48" spans="1:9" ht="12.75">
      <c r="A48" s="17"/>
      <c r="B48" s="17" t="s">
        <v>424</v>
      </c>
      <c r="C48" s="17" t="s">
        <v>822</v>
      </c>
      <c r="D48" s="37">
        <f>'Stavební rozpočet'!H432</f>
        <v>0</v>
      </c>
      <c r="E48" s="37">
        <f>'Stavební rozpočet'!I432</f>
        <v>0</v>
      </c>
      <c r="F48" s="37">
        <f t="shared" si="0"/>
        <v>0</v>
      </c>
      <c r="G48" s="37">
        <f>'Stavební rozpočet'!L432</f>
        <v>0</v>
      </c>
      <c r="H48" s="37" t="s">
        <v>933</v>
      </c>
      <c r="I48" s="37">
        <f t="shared" si="1"/>
        <v>0</v>
      </c>
    </row>
    <row r="49" spans="1:9" ht="12.75">
      <c r="A49" s="17"/>
      <c r="B49" s="17" t="s">
        <v>426</v>
      </c>
      <c r="C49" s="17" t="s">
        <v>824</v>
      </c>
      <c r="D49" s="37">
        <f>'Stavební rozpočet'!H434</f>
        <v>0</v>
      </c>
      <c r="E49" s="37">
        <f>'Stavební rozpočet'!I434</f>
        <v>0</v>
      </c>
      <c r="F49" s="37">
        <f t="shared" si="0"/>
        <v>0</v>
      </c>
      <c r="G49" s="37">
        <f>'Stavební rozpočet'!L434</f>
        <v>0</v>
      </c>
      <c r="H49" s="37" t="s">
        <v>933</v>
      </c>
      <c r="I49" s="37">
        <f t="shared" si="1"/>
        <v>0</v>
      </c>
    </row>
    <row r="51" spans="5:6" ht="12.75">
      <c r="E51" s="47" t="s">
        <v>853</v>
      </c>
      <c r="F51" s="50">
        <f>SUM(I11:I49)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4"/>
  <sheetViews>
    <sheetView zoomScalePageLayoutView="0" workbookViewId="0" topLeftCell="A1">
      <pane ySplit="11" topLeftCell="A432" activePane="bottomLeft" state="frozen"/>
      <selection pane="topLeft" activeCell="D33" sqref="D33:F33"/>
      <selection pane="bottomLeft" activeCell="G4" sqref="G4:H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5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16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2.75">
      <c r="A2" s="106" t="s">
        <v>1</v>
      </c>
      <c r="B2" s="107"/>
      <c r="C2" s="107"/>
      <c r="D2" s="108" t="s">
        <v>432</v>
      </c>
      <c r="E2" s="122" t="s">
        <v>832</v>
      </c>
      <c r="F2" s="107"/>
      <c r="G2" s="122" t="s">
        <v>6</v>
      </c>
      <c r="H2" s="107"/>
      <c r="I2" s="111" t="s">
        <v>854</v>
      </c>
      <c r="J2" s="111" t="s">
        <v>6</v>
      </c>
      <c r="K2" s="107"/>
      <c r="L2" s="107"/>
      <c r="M2" s="117"/>
      <c r="N2" s="35"/>
    </row>
    <row r="3" spans="1:14" ht="12.75">
      <c r="A3" s="101"/>
      <c r="B3" s="75"/>
      <c r="C3" s="75"/>
      <c r="D3" s="110"/>
      <c r="E3" s="75"/>
      <c r="F3" s="75"/>
      <c r="G3" s="75"/>
      <c r="H3" s="75"/>
      <c r="I3" s="75"/>
      <c r="J3" s="75"/>
      <c r="K3" s="75"/>
      <c r="L3" s="75"/>
      <c r="M3" s="103"/>
      <c r="N3" s="35"/>
    </row>
    <row r="4" spans="1:14" ht="12.75">
      <c r="A4" s="95" t="s">
        <v>2</v>
      </c>
      <c r="B4" s="75"/>
      <c r="C4" s="75"/>
      <c r="D4" s="74" t="s">
        <v>6</v>
      </c>
      <c r="E4" s="98" t="s">
        <v>833</v>
      </c>
      <c r="F4" s="75"/>
      <c r="G4" s="98"/>
      <c r="H4" s="75"/>
      <c r="I4" s="74" t="s">
        <v>855</v>
      </c>
      <c r="J4" s="74" t="s">
        <v>6</v>
      </c>
      <c r="K4" s="75"/>
      <c r="L4" s="75"/>
      <c r="M4" s="103"/>
      <c r="N4" s="35"/>
    </row>
    <row r="5" spans="1:14" ht="12.75">
      <c r="A5" s="10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03"/>
      <c r="N5" s="35"/>
    </row>
    <row r="6" spans="1:14" ht="12.75">
      <c r="A6" s="95" t="s">
        <v>3</v>
      </c>
      <c r="B6" s="75"/>
      <c r="C6" s="75"/>
      <c r="D6" s="74" t="s">
        <v>6</v>
      </c>
      <c r="E6" s="98" t="s">
        <v>834</v>
      </c>
      <c r="F6" s="75"/>
      <c r="G6" s="98" t="s">
        <v>6</v>
      </c>
      <c r="H6" s="75"/>
      <c r="I6" s="74" t="s">
        <v>856</v>
      </c>
      <c r="J6" s="74" t="s">
        <v>6</v>
      </c>
      <c r="K6" s="75"/>
      <c r="L6" s="75"/>
      <c r="M6" s="103"/>
      <c r="N6" s="35"/>
    </row>
    <row r="7" spans="1:14" ht="12.75">
      <c r="A7" s="10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103"/>
      <c r="N7" s="35"/>
    </row>
    <row r="8" spans="1:14" ht="12.75">
      <c r="A8" s="95" t="s">
        <v>4</v>
      </c>
      <c r="B8" s="75"/>
      <c r="C8" s="75"/>
      <c r="D8" s="74" t="s">
        <v>6</v>
      </c>
      <c r="E8" s="98" t="s">
        <v>835</v>
      </c>
      <c r="F8" s="75"/>
      <c r="G8" s="98" t="s">
        <v>848</v>
      </c>
      <c r="H8" s="75"/>
      <c r="I8" s="74" t="s">
        <v>857</v>
      </c>
      <c r="J8" s="74" t="s">
        <v>6</v>
      </c>
      <c r="K8" s="75"/>
      <c r="L8" s="75"/>
      <c r="M8" s="103"/>
      <c r="N8" s="35"/>
    </row>
    <row r="9" spans="1:14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35"/>
    </row>
    <row r="10" spans="1:14" ht="12.75">
      <c r="A10" s="1" t="s">
        <v>5</v>
      </c>
      <c r="B10" s="10" t="s">
        <v>212</v>
      </c>
      <c r="C10" s="10" t="s">
        <v>213</v>
      </c>
      <c r="D10" s="10" t="s">
        <v>433</v>
      </c>
      <c r="E10" s="10" t="s">
        <v>836</v>
      </c>
      <c r="F10" s="18" t="s">
        <v>847</v>
      </c>
      <c r="G10" s="23" t="s">
        <v>849</v>
      </c>
      <c r="H10" s="118" t="s">
        <v>851</v>
      </c>
      <c r="I10" s="119"/>
      <c r="J10" s="120"/>
      <c r="K10" s="118" t="s">
        <v>860</v>
      </c>
      <c r="L10" s="120"/>
      <c r="M10" s="30" t="s">
        <v>861</v>
      </c>
      <c r="N10" s="36"/>
    </row>
    <row r="11" spans="1:24" ht="12.75">
      <c r="A11" s="2" t="s">
        <v>6</v>
      </c>
      <c r="B11" s="11" t="s">
        <v>6</v>
      </c>
      <c r="C11" s="11" t="s">
        <v>6</v>
      </c>
      <c r="D11" s="14" t="s">
        <v>434</v>
      </c>
      <c r="E11" s="11" t="s">
        <v>6</v>
      </c>
      <c r="F11" s="11" t="s">
        <v>6</v>
      </c>
      <c r="G11" s="24" t="s">
        <v>850</v>
      </c>
      <c r="H11" s="25" t="s">
        <v>852</v>
      </c>
      <c r="I11" s="26" t="s">
        <v>858</v>
      </c>
      <c r="J11" s="27" t="s">
        <v>859</v>
      </c>
      <c r="K11" s="25" t="s">
        <v>849</v>
      </c>
      <c r="L11" s="27" t="s">
        <v>859</v>
      </c>
      <c r="M11" s="31" t="s">
        <v>862</v>
      </c>
      <c r="N11" s="36"/>
      <c r="P11" s="29" t="s">
        <v>865</v>
      </c>
      <c r="Q11" s="29" t="s">
        <v>866</v>
      </c>
      <c r="R11" s="29" t="s">
        <v>867</v>
      </c>
      <c r="S11" s="29" t="s">
        <v>868</v>
      </c>
      <c r="T11" s="29" t="s">
        <v>869</v>
      </c>
      <c r="U11" s="29" t="s">
        <v>870</v>
      </c>
      <c r="V11" s="29" t="s">
        <v>871</v>
      </c>
      <c r="W11" s="29" t="s">
        <v>872</v>
      </c>
      <c r="X11" s="29" t="s">
        <v>873</v>
      </c>
    </row>
    <row r="12" spans="1:37" ht="12.75">
      <c r="A12" s="3"/>
      <c r="B12" s="12"/>
      <c r="C12" s="12" t="s">
        <v>17</v>
      </c>
      <c r="D12" s="12" t="s">
        <v>435</v>
      </c>
      <c r="E12" s="3" t="s">
        <v>6</v>
      </c>
      <c r="F12" s="3" t="s">
        <v>6</v>
      </c>
      <c r="G12" s="3" t="s">
        <v>6</v>
      </c>
      <c r="H12" s="39">
        <f>SUM(H13:H13)</f>
        <v>0</v>
      </c>
      <c r="I12" s="39">
        <f>SUM(I13:I13)</f>
        <v>0</v>
      </c>
      <c r="J12" s="39">
        <f>H12+I12</f>
        <v>0</v>
      </c>
      <c r="K12" s="28"/>
      <c r="L12" s="39">
        <f>SUM(L13:L13)</f>
        <v>0.09912</v>
      </c>
      <c r="M12" s="28"/>
      <c r="Y12" s="29"/>
      <c r="AI12" s="40">
        <f>SUM(Z13:Z13)</f>
        <v>0</v>
      </c>
      <c r="AJ12" s="40">
        <f>SUM(AA13:AA13)</f>
        <v>0</v>
      </c>
      <c r="AK12" s="40">
        <f>SUM(AB13:AB13)</f>
        <v>0</v>
      </c>
    </row>
    <row r="13" spans="1:48" ht="12.75">
      <c r="A13" s="4" t="s">
        <v>7</v>
      </c>
      <c r="B13" s="4"/>
      <c r="C13" s="4" t="s">
        <v>214</v>
      </c>
      <c r="D13" s="4" t="s">
        <v>436</v>
      </c>
      <c r="E13" s="4" t="s">
        <v>837</v>
      </c>
      <c r="F13" s="19">
        <v>4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0.02478</v>
      </c>
      <c r="L13" s="19">
        <f>F13*K13</f>
        <v>0.09912</v>
      </c>
      <c r="M13" s="32" t="s">
        <v>863</v>
      </c>
      <c r="P13" s="37">
        <f>IF(AG13="5",J13,0)</f>
        <v>0</v>
      </c>
      <c r="R13" s="37">
        <f>IF(AG13="1",H13,0)</f>
        <v>0</v>
      </c>
      <c r="S13" s="37">
        <f>IF(AG13="1",I13,0)</f>
        <v>0</v>
      </c>
      <c r="T13" s="37">
        <f>IF(AG13="7",H13,0)</f>
        <v>0</v>
      </c>
      <c r="U13" s="37">
        <f>IF(AG13="7",I13,0)</f>
        <v>0</v>
      </c>
      <c r="V13" s="37">
        <f>IF(AG13="2",H13,0)</f>
        <v>0</v>
      </c>
      <c r="W13" s="37">
        <f>IF(AG13="2",I13,0)</f>
        <v>0</v>
      </c>
      <c r="X13" s="37">
        <f>IF(AG13="0",J13,0)</f>
        <v>0</v>
      </c>
      <c r="Y13" s="29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7">
        <v>21</v>
      </c>
      <c r="AE13" s="37">
        <f>G13*0.323627447224244</f>
        <v>0</v>
      </c>
      <c r="AF13" s="37">
        <f>G13*(1-0.323627447224244)</f>
        <v>0</v>
      </c>
      <c r="AG13" s="32" t="s">
        <v>7</v>
      </c>
      <c r="AM13" s="37">
        <f>F13*AE13</f>
        <v>0</v>
      </c>
      <c r="AN13" s="37">
        <f>F13*AF13</f>
        <v>0</v>
      </c>
      <c r="AO13" s="38" t="s">
        <v>874</v>
      </c>
      <c r="AP13" s="38" t="s">
        <v>913</v>
      </c>
      <c r="AQ13" s="29" t="s">
        <v>926</v>
      </c>
      <c r="AS13" s="37">
        <f>AM13+AN13</f>
        <v>0</v>
      </c>
      <c r="AT13" s="37">
        <f>G13/(100-AU13)*100</f>
        <v>0</v>
      </c>
      <c r="AU13" s="37">
        <v>0</v>
      </c>
      <c r="AV13" s="37">
        <f>L13</f>
        <v>0.09912</v>
      </c>
    </row>
    <row r="14" spans="1:37" ht="12.75">
      <c r="A14" s="5"/>
      <c r="B14" s="13"/>
      <c r="C14" s="13" t="s">
        <v>18</v>
      </c>
      <c r="D14" s="13" t="s">
        <v>437</v>
      </c>
      <c r="E14" s="5" t="s">
        <v>6</v>
      </c>
      <c r="F14" s="5" t="s">
        <v>6</v>
      </c>
      <c r="G14" s="5" t="s">
        <v>6</v>
      </c>
      <c r="H14" s="40">
        <f>SUM(H15:H15)</f>
        <v>0</v>
      </c>
      <c r="I14" s="40">
        <f>SUM(I15:I15)</f>
        <v>0</v>
      </c>
      <c r="J14" s="40">
        <f>H14+I14</f>
        <v>0</v>
      </c>
      <c r="K14" s="29"/>
      <c r="L14" s="40">
        <f>SUM(L15:L15)</f>
        <v>6.302</v>
      </c>
      <c r="M14" s="29"/>
      <c r="Y14" s="29"/>
      <c r="AI14" s="40">
        <f>SUM(Z15:Z15)</f>
        <v>0</v>
      </c>
      <c r="AJ14" s="40">
        <f>SUM(AA15:AA15)</f>
        <v>0</v>
      </c>
      <c r="AK14" s="40">
        <f>SUM(AB15:AB15)</f>
        <v>0</v>
      </c>
    </row>
    <row r="15" spans="1:48" ht="12.75">
      <c r="A15" s="4" t="s">
        <v>8</v>
      </c>
      <c r="B15" s="4"/>
      <c r="C15" s="4" t="s">
        <v>215</v>
      </c>
      <c r="D15" s="4" t="s">
        <v>438</v>
      </c>
      <c r="E15" s="4" t="s">
        <v>838</v>
      </c>
      <c r="F15" s="19">
        <v>2.74</v>
      </c>
      <c r="G15" s="19">
        <v>0</v>
      </c>
      <c r="H15" s="19">
        <f>F15*AE15</f>
        <v>0</v>
      </c>
      <c r="I15" s="19">
        <f>J15-H15</f>
        <v>0</v>
      </c>
      <c r="J15" s="19">
        <f>F15*G15</f>
        <v>0</v>
      </c>
      <c r="K15" s="19">
        <v>2.3</v>
      </c>
      <c r="L15" s="19">
        <f>F15*K15</f>
        <v>6.302</v>
      </c>
      <c r="M15" s="32" t="s">
        <v>863</v>
      </c>
      <c r="P15" s="37">
        <f>IF(AG15="5",J15,0)</f>
        <v>0</v>
      </c>
      <c r="R15" s="37">
        <f>IF(AG15="1",H15,0)</f>
        <v>0</v>
      </c>
      <c r="S15" s="37">
        <f>IF(AG15="1",I15,0)</f>
        <v>0</v>
      </c>
      <c r="T15" s="37">
        <f>IF(AG15="7",H15,0)</f>
        <v>0</v>
      </c>
      <c r="U15" s="37">
        <f>IF(AG15="7",I15,0)</f>
        <v>0</v>
      </c>
      <c r="V15" s="37">
        <f>IF(AG15="2",H15,0)</f>
        <v>0</v>
      </c>
      <c r="W15" s="37">
        <f>IF(AG15="2",I15,0)</f>
        <v>0</v>
      </c>
      <c r="X15" s="37">
        <f>IF(AG15="0",J15,0)</f>
        <v>0</v>
      </c>
      <c r="Y15" s="29"/>
      <c r="Z15" s="19">
        <f>IF(AD15=0,J15,0)</f>
        <v>0</v>
      </c>
      <c r="AA15" s="19">
        <f>IF(AD15=15,J15,0)</f>
        <v>0</v>
      </c>
      <c r="AB15" s="19">
        <f>IF(AD15=21,J15,0)</f>
        <v>0</v>
      </c>
      <c r="AD15" s="37">
        <v>21</v>
      </c>
      <c r="AE15" s="37">
        <f>G15*0</f>
        <v>0</v>
      </c>
      <c r="AF15" s="37">
        <f>G15*(1-0)</f>
        <v>0</v>
      </c>
      <c r="AG15" s="32" t="s">
        <v>7</v>
      </c>
      <c r="AM15" s="37">
        <f>F15*AE15</f>
        <v>0</v>
      </c>
      <c r="AN15" s="37">
        <f>F15*AF15</f>
        <v>0</v>
      </c>
      <c r="AO15" s="38" t="s">
        <v>875</v>
      </c>
      <c r="AP15" s="38" t="s">
        <v>913</v>
      </c>
      <c r="AQ15" s="29" t="s">
        <v>926</v>
      </c>
      <c r="AS15" s="37">
        <f>AM15+AN15</f>
        <v>0</v>
      </c>
      <c r="AT15" s="37">
        <f>G15/(100-AU15)*100</f>
        <v>0</v>
      </c>
      <c r="AU15" s="37">
        <v>0</v>
      </c>
      <c r="AV15" s="37">
        <f>L15</f>
        <v>6.302</v>
      </c>
    </row>
    <row r="16" spans="4:6" ht="12.75">
      <c r="D16" s="15" t="s">
        <v>439</v>
      </c>
      <c r="F16" s="20">
        <v>2.74</v>
      </c>
    </row>
    <row r="17" spans="1:37" ht="12.75">
      <c r="A17" s="5"/>
      <c r="B17" s="13"/>
      <c r="C17" s="13" t="s">
        <v>19</v>
      </c>
      <c r="D17" s="13" t="s">
        <v>440</v>
      </c>
      <c r="E17" s="5" t="s">
        <v>6</v>
      </c>
      <c r="F17" s="5" t="s">
        <v>6</v>
      </c>
      <c r="G17" s="5" t="s">
        <v>6</v>
      </c>
      <c r="H17" s="40">
        <f>SUM(H18:H18)</f>
        <v>0</v>
      </c>
      <c r="I17" s="40">
        <f>SUM(I18:I18)</f>
        <v>0</v>
      </c>
      <c r="J17" s="40">
        <f>H17+I17</f>
        <v>0</v>
      </c>
      <c r="K17" s="29"/>
      <c r="L17" s="40">
        <f>SUM(L18:L18)</f>
        <v>0</v>
      </c>
      <c r="M17" s="29"/>
      <c r="Y17" s="29"/>
      <c r="AI17" s="40">
        <f>SUM(Z18:Z18)</f>
        <v>0</v>
      </c>
      <c r="AJ17" s="40">
        <f>SUM(AA18:AA18)</f>
        <v>0</v>
      </c>
      <c r="AK17" s="40">
        <f>SUM(AB18:AB18)</f>
        <v>0</v>
      </c>
    </row>
    <row r="18" spans="1:48" ht="12.75">
      <c r="A18" s="4" t="s">
        <v>9</v>
      </c>
      <c r="B18" s="4"/>
      <c r="C18" s="4" t="s">
        <v>216</v>
      </c>
      <c r="D18" s="4" t="s">
        <v>441</v>
      </c>
      <c r="E18" s="4" t="s">
        <v>838</v>
      </c>
      <c r="F18" s="19">
        <v>11.27</v>
      </c>
      <c r="G18" s="19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</v>
      </c>
      <c r="L18" s="19">
        <f>F18*K18</f>
        <v>0</v>
      </c>
      <c r="M18" s="32" t="s">
        <v>863</v>
      </c>
      <c r="P18" s="37">
        <f>IF(AG18="5",J18,0)</f>
        <v>0</v>
      </c>
      <c r="R18" s="37">
        <f>IF(AG18="1",H18,0)</f>
        <v>0</v>
      </c>
      <c r="S18" s="37">
        <f>IF(AG18="1",I18,0)</f>
        <v>0</v>
      </c>
      <c r="T18" s="37">
        <f>IF(AG18="7",H18,0)</f>
        <v>0</v>
      </c>
      <c r="U18" s="37">
        <f>IF(AG18="7",I18,0)</f>
        <v>0</v>
      </c>
      <c r="V18" s="37">
        <f>IF(AG18="2",H18,0)</f>
        <v>0</v>
      </c>
      <c r="W18" s="37">
        <f>IF(AG18="2",I18,0)</f>
        <v>0</v>
      </c>
      <c r="X18" s="37">
        <f>IF(AG18="0",J18,0)</f>
        <v>0</v>
      </c>
      <c r="Y18" s="29"/>
      <c r="Z18" s="19">
        <f>IF(AD18=0,J18,0)</f>
        <v>0</v>
      </c>
      <c r="AA18" s="19">
        <f>IF(AD18=15,J18,0)</f>
        <v>0</v>
      </c>
      <c r="AB18" s="19">
        <f>IF(AD18=21,J18,0)</f>
        <v>0</v>
      </c>
      <c r="AD18" s="37">
        <v>21</v>
      </c>
      <c r="AE18" s="37">
        <f>G18*0</f>
        <v>0</v>
      </c>
      <c r="AF18" s="37">
        <f>G18*(1-0)</f>
        <v>0</v>
      </c>
      <c r="AG18" s="32" t="s">
        <v>7</v>
      </c>
      <c r="AM18" s="37">
        <f>F18*AE18</f>
        <v>0</v>
      </c>
      <c r="AN18" s="37">
        <f>F18*AF18</f>
        <v>0</v>
      </c>
      <c r="AO18" s="38" t="s">
        <v>876</v>
      </c>
      <c r="AP18" s="38" t="s">
        <v>913</v>
      </c>
      <c r="AQ18" s="29" t="s">
        <v>926</v>
      </c>
      <c r="AS18" s="37">
        <f>AM18+AN18</f>
        <v>0</v>
      </c>
      <c r="AT18" s="37">
        <f>G18/(100-AU18)*100</f>
        <v>0</v>
      </c>
      <c r="AU18" s="37">
        <v>0</v>
      </c>
      <c r="AV18" s="37">
        <f>L18</f>
        <v>0</v>
      </c>
    </row>
    <row r="19" spans="4:6" ht="12.75">
      <c r="D19" s="15" t="s">
        <v>442</v>
      </c>
      <c r="F19" s="20">
        <v>2.74</v>
      </c>
    </row>
    <row r="20" spans="4:6" ht="12.75">
      <c r="D20" s="15" t="s">
        <v>443</v>
      </c>
      <c r="F20" s="20">
        <v>0.95</v>
      </c>
    </row>
    <row r="21" spans="4:6" ht="12.75">
      <c r="D21" s="15" t="s">
        <v>444</v>
      </c>
      <c r="F21" s="20">
        <v>2.73</v>
      </c>
    </row>
    <row r="22" spans="4:6" ht="12.75">
      <c r="D22" s="15" t="s">
        <v>445</v>
      </c>
      <c r="F22" s="20">
        <v>4.85</v>
      </c>
    </row>
    <row r="23" spans="1:37" ht="12.75">
      <c r="A23" s="5"/>
      <c r="B23" s="13"/>
      <c r="C23" s="13" t="s">
        <v>22</v>
      </c>
      <c r="D23" s="13" t="s">
        <v>446</v>
      </c>
      <c r="E23" s="5" t="s">
        <v>6</v>
      </c>
      <c r="F23" s="5" t="s">
        <v>6</v>
      </c>
      <c r="G23" s="5" t="s">
        <v>6</v>
      </c>
      <c r="H23" s="40">
        <f>SUM(H24:H30)</f>
        <v>0</v>
      </c>
      <c r="I23" s="40">
        <f>SUM(I24:I30)</f>
        <v>0</v>
      </c>
      <c r="J23" s="40">
        <f>H23+I23</f>
        <v>0</v>
      </c>
      <c r="K23" s="29"/>
      <c r="L23" s="40">
        <f>SUM(L24:L30)</f>
        <v>0</v>
      </c>
      <c r="M23" s="29"/>
      <c r="Y23" s="29"/>
      <c r="AI23" s="40">
        <f>SUM(Z24:Z30)</f>
        <v>0</v>
      </c>
      <c r="AJ23" s="40">
        <f>SUM(AA24:AA30)</f>
        <v>0</v>
      </c>
      <c r="AK23" s="40">
        <f>SUM(AB24:AB30)</f>
        <v>0</v>
      </c>
    </row>
    <row r="24" spans="1:48" ht="12.75">
      <c r="A24" s="4" t="s">
        <v>10</v>
      </c>
      <c r="B24" s="4"/>
      <c r="C24" s="4" t="s">
        <v>217</v>
      </c>
      <c r="D24" s="4" t="s">
        <v>447</v>
      </c>
      <c r="E24" s="4" t="s">
        <v>838</v>
      </c>
      <c r="F24" s="19">
        <v>38.55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</v>
      </c>
      <c r="L24" s="19">
        <f>F24*K24</f>
        <v>0</v>
      </c>
      <c r="M24" s="32" t="s">
        <v>863</v>
      </c>
      <c r="P24" s="37">
        <f>IF(AG24="5",J24,0)</f>
        <v>0</v>
      </c>
      <c r="R24" s="37">
        <f>IF(AG24="1",H24,0)</f>
        <v>0</v>
      </c>
      <c r="S24" s="37">
        <f>IF(AG24="1",I24,0)</f>
        <v>0</v>
      </c>
      <c r="T24" s="37">
        <f>IF(AG24="7",H24,0)</f>
        <v>0</v>
      </c>
      <c r="U24" s="37">
        <f>IF(AG24="7",I24,0)</f>
        <v>0</v>
      </c>
      <c r="V24" s="37">
        <f>IF(AG24="2",H24,0)</f>
        <v>0</v>
      </c>
      <c r="W24" s="37">
        <f>IF(AG24="2",I24,0)</f>
        <v>0</v>
      </c>
      <c r="X24" s="37">
        <f>IF(AG24="0",J24,0)</f>
        <v>0</v>
      </c>
      <c r="Y24" s="29"/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7">
        <v>21</v>
      </c>
      <c r="AE24" s="37">
        <f>G24*0</f>
        <v>0</v>
      </c>
      <c r="AF24" s="37">
        <f>G24*(1-0)</f>
        <v>0</v>
      </c>
      <c r="AG24" s="32" t="s">
        <v>7</v>
      </c>
      <c r="AM24" s="37">
        <f>F24*AE24</f>
        <v>0</v>
      </c>
      <c r="AN24" s="37">
        <f>F24*AF24</f>
        <v>0</v>
      </c>
      <c r="AO24" s="38" t="s">
        <v>877</v>
      </c>
      <c r="AP24" s="38" t="s">
        <v>913</v>
      </c>
      <c r="AQ24" s="29" t="s">
        <v>926</v>
      </c>
      <c r="AS24" s="37">
        <f>AM24+AN24</f>
        <v>0</v>
      </c>
      <c r="AT24" s="37">
        <f>G24/(100-AU24)*100</f>
        <v>0</v>
      </c>
      <c r="AU24" s="37">
        <v>0</v>
      </c>
      <c r="AV24" s="37">
        <f>L24</f>
        <v>0</v>
      </c>
    </row>
    <row r="25" spans="4:6" ht="12.75">
      <c r="D25" s="15" t="s">
        <v>448</v>
      </c>
      <c r="F25" s="20">
        <v>4.45</v>
      </c>
    </row>
    <row r="26" spans="4:6" ht="12.75">
      <c r="D26" s="15" t="s">
        <v>449</v>
      </c>
      <c r="F26" s="20">
        <v>34.1</v>
      </c>
    </row>
    <row r="27" spans="1:48" ht="12.75">
      <c r="A27" s="4" t="s">
        <v>11</v>
      </c>
      <c r="B27" s="4"/>
      <c r="C27" s="4" t="s">
        <v>218</v>
      </c>
      <c r="D27" s="4" t="s">
        <v>450</v>
      </c>
      <c r="E27" s="4" t="s">
        <v>838</v>
      </c>
      <c r="F27" s="19">
        <v>6.82</v>
      </c>
      <c r="G27" s="19">
        <v>0</v>
      </c>
      <c r="H27" s="19">
        <f>F27*AE27</f>
        <v>0</v>
      </c>
      <c r="I27" s="19">
        <f>J27-H27</f>
        <v>0</v>
      </c>
      <c r="J27" s="19">
        <f>F27*G27</f>
        <v>0</v>
      </c>
      <c r="K27" s="19">
        <v>0</v>
      </c>
      <c r="L27" s="19">
        <f>F27*K27</f>
        <v>0</v>
      </c>
      <c r="M27" s="32" t="s">
        <v>863</v>
      </c>
      <c r="P27" s="37">
        <f>IF(AG27="5",J27,0)</f>
        <v>0</v>
      </c>
      <c r="R27" s="37">
        <f>IF(AG27="1",H27,0)</f>
        <v>0</v>
      </c>
      <c r="S27" s="37">
        <f>IF(AG27="1",I27,0)</f>
        <v>0</v>
      </c>
      <c r="T27" s="37">
        <f>IF(AG27="7",H27,0)</f>
        <v>0</v>
      </c>
      <c r="U27" s="37">
        <f>IF(AG27="7",I27,0)</f>
        <v>0</v>
      </c>
      <c r="V27" s="37">
        <f>IF(AG27="2",H27,0)</f>
        <v>0</v>
      </c>
      <c r="W27" s="37">
        <f>IF(AG27="2",I27,0)</f>
        <v>0</v>
      </c>
      <c r="X27" s="37">
        <f>IF(AG27="0",J27,0)</f>
        <v>0</v>
      </c>
      <c r="Y27" s="29"/>
      <c r="Z27" s="19">
        <f>IF(AD27=0,J27,0)</f>
        <v>0</v>
      </c>
      <c r="AA27" s="19">
        <f>IF(AD27=15,J27,0)</f>
        <v>0</v>
      </c>
      <c r="AB27" s="19">
        <f>IF(AD27=21,J27,0)</f>
        <v>0</v>
      </c>
      <c r="AD27" s="37">
        <v>21</v>
      </c>
      <c r="AE27" s="37">
        <f>G27*0</f>
        <v>0</v>
      </c>
      <c r="AF27" s="37">
        <f>G27*(1-0)</f>
        <v>0</v>
      </c>
      <c r="AG27" s="32" t="s">
        <v>7</v>
      </c>
      <c r="AM27" s="37">
        <f>F27*AE27</f>
        <v>0</v>
      </c>
      <c r="AN27" s="37">
        <f>F27*AF27</f>
        <v>0</v>
      </c>
      <c r="AO27" s="38" t="s">
        <v>877</v>
      </c>
      <c r="AP27" s="38" t="s">
        <v>913</v>
      </c>
      <c r="AQ27" s="29" t="s">
        <v>926</v>
      </c>
      <c r="AS27" s="37">
        <f>AM27+AN27</f>
        <v>0</v>
      </c>
      <c r="AT27" s="37">
        <f>G27/(100-AU27)*100</f>
        <v>0</v>
      </c>
      <c r="AU27" s="37">
        <v>0</v>
      </c>
      <c r="AV27" s="37">
        <f>L27</f>
        <v>0</v>
      </c>
    </row>
    <row r="28" spans="4:6" ht="12.75">
      <c r="D28" s="15" t="s">
        <v>451</v>
      </c>
      <c r="F28" s="20">
        <v>6.82</v>
      </c>
    </row>
    <row r="29" spans="1:48" ht="12.75">
      <c r="A29" s="4" t="s">
        <v>12</v>
      </c>
      <c r="B29" s="4"/>
      <c r="C29" s="4" t="s">
        <v>219</v>
      </c>
      <c r="D29" s="4" t="s">
        <v>452</v>
      </c>
      <c r="E29" s="4" t="s">
        <v>838</v>
      </c>
      <c r="F29" s="19">
        <v>6.82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</v>
      </c>
      <c r="L29" s="19">
        <f>F29*K29</f>
        <v>0</v>
      </c>
      <c r="M29" s="32" t="s">
        <v>863</v>
      </c>
      <c r="P29" s="37">
        <f>IF(AG29="5",J29,0)</f>
        <v>0</v>
      </c>
      <c r="R29" s="37">
        <f>IF(AG29="1",H29,0)</f>
        <v>0</v>
      </c>
      <c r="S29" s="37">
        <f>IF(AG29="1",I29,0)</f>
        <v>0</v>
      </c>
      <c r="T29" s="37">
        <f>IF(AG29="7",H29,0)</f>
        <v>0</v>
      </c>
      <c r="U29" s="37">
        <f>IF(AG29="7",I29,0)</f>
        <v>0</v>
      </c>
      <c r="V29" s="37">
        <f>IF(AG29="2",H29,0)</f>
        <v>0</v>
      </c>
      <c r="W29" s="37">
        <f>IF(AG29="2",I29,0)</f>
        <v>0</v>
      </c>
      <c r="X29" s="37">
        <f>IF(AG29="0",J29,0)</f>
        <v>0</v>
      </c>
      <c r="Y29" s="29"/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7">
        <v>21</v>
      </c>
      <c r="AE29" s="37">
        <f>G29*0</f>
        <v>0</v>
      </c>
      <c r="AF29" s="37">
        <f>G29*(1-0)</f>
        <v>0</v>
      </c>
      <c r="AG29" s="32" t="s">
        <v>7</v>
      </c>
      <c r="AM29" s="37">
        <f>F29*AE29</f>
        <v>0</v>
      </c>
      <c r="AN29" s="37">
        <f>F29*AF29</f>
        <v>0</v>
      </c>
      <c r="AO29" s="38" t="s">
        <v>877</v>
      </c>
      <c r="AP29" s="38" t="s">
        <v>913</v>
      </c>
      <c r="AQ29" s="29" t="s">
        <v>926</v>
      </c>
      <c r="AS29" s="37">
        <f>AM29+AN29</f>
        <v>0</v>
      </c>
      <c r="AT29" s="37">
        <f>G29/(100-AU29)*100</f>
        <v>0</v>
      </c>
      <c r="AU29" s="37">
        <v>0</v>
      </c>
      <c r="AV29" s="37">
        <f>L29</f>
        <v>0</v>
      </c>
    </row>
    <row r="30" spans="1:48" ht="12.75">
      <c r="A30" s="4" t="s">
        <v>13</v>
      </c>
      <c r="B30" s="4"/>
      <c r="C30" s="4" t="s">
        <v>220</v>
      </c>
      <c r="D30" s="4" t="s">
        <v>453</v>
      </c>
      <c r="E30" s="4" t="s">
        <v>838</v>
      </c>
      <c r="F30" s="19">
        <v>4.45</v>
      </c>
      <c r="G30" s="19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</v>
      </c>
      <c r="L30" s="19">
        <f>F30*K30</f>
        <v>0</v>
      </c>
      <c r="M30" s="32" t="s">
        <v>863</v>
      </c>
      <c r="P30" s="37">
        <f>IF(AG30="5",J30,0)</f>
        <v>0</v>
      </c>
      <c r="R30" s="37">
        <f>IF(AG30="1",H30,0)</f>
        <v>0</v>
      </c>
      <c r="S30" s="37">
        <f>IF(AG30="1",I30,0)</f>
        <v>0</v>
      </c>
      <c r="T30" s="37">
        <f>IF(AG30="7",H30,0)</f>
        <v>0</v>
      </c>
      <c r="U30" s="37">
        <f>IF(AG30="7",I30,0)</f>
        <v>0</v>
      </c>
      <c r="V30" s="37">
        <f>IF(AG30="2",H30,0)</f>
        <v>0</v>
      </c>
      <c r="W30" s="37">
        <f>IF(AG30="2",I30,0)</f>
        <v>0</v>
      </c>
      <c r="X30" s="37">
        <f>IF(AG30="0",J30,0)</f>
        <v>0</v>
      </c>
      <c r="Y30" s="29"/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37">
        <v>21</v>
      </c>
      <c r="AE30" s="37">
        <f>G30*0</f>
        <v>0</v>
      </c>
      <c r="AF30" s="37">
        <f>G30*(1-0)</f>
        <v>0</v>
      </c>
      <c r="AG30" s="32" t="s">
        <v>7</v>
      </c>
      <c r="AM30" s="37">
        <f>F30*AE30</f>
        <v>0</v>
      </c>
      <c r="AN30" s="37">
        <f>F30*AF30</f>
        <v>0</v>
      </c>
      <c r="AO30" s="38" t="s">
        <v>877</v>
      </c>
      <c r="AP30" s="38" t="s">
        <v>913</v>
      </c>
      <c r="AQ30" s="29" t="s">
        <v>926</v>
      </c>
      <c r="AS30" s="37">
        <f>AM30+AN30</f>
        <v>0</v>
      </c>
      <c r="AT30" s="37">
        <f>G30/(100-AU30)*100</f>
        <v>0</v>
      </c>
      <c r="AU30" s="37">
        <v>0</v>
      </c>
      <c r="AV30" s="37">
        <f>L30</f>
        <v>0</v>
      </c>
    </row>
    <row r="31" spans="4:6" ht="12.75">
      <c r="D31" s="15" t="s">
        <v>454</v>
      </c>
      <c r="F31" s="20">
        <v>4.45</v>
      </c>
    </row>
    <row r="32" spans="1:37" ht="12.75">
      <c r="A32" s="5"/>
      <c r="B32" s="13"/>
      <c r="C32" s="13" t="s">
        <v>23</v>
      </c>
      <c r="D32" s="13" t="s">
        <v>455</v>
      </c>
      <c r="E32" s="5" t="s">
        <v>6</v>
      </c>
      <c r="F32" s="5" t="s">
        <v>6</v>
      </c>
      <c r="G32" s="5" t="s">
        <v>6</v>
      </c>
      <c r="H32" s="40">
        <f>SUM(H33:H38)</f>
        <v>0</v>
      </c>
      <c r="I32" s="40">
        <f>SUM(I33:I38)</f>
        <v>0</v>
      </c>
      <c r="J32" s="40">
        <f>H32+I32</f>
        <v>0</v>
      </c>
      <c r="K32" s="29"/>
      <c r="L32" s="40">
        <f>SUM(L33:L38)</f>
        <v>10.73</v>
      </c>
      <c r="M32" s="29"/>
      <c r="Y32" s="29"/>
      <c r="AI32" s="40">
        <f>SUM(Z33:Z38)</f>
        <v>0</v>
      </c>
      <c r="AJ32" s="40">
        <f>SUM(AA33:AA38)</f>
        <v>0</v>
      </c>
      <c r="AK32" s="40">
        <f>SUM(AB33:AB38)</f>
        <v>0</v>
      </c>
    </row>
    <row r="33" spans="1:48" ht="12.75">
      <c r="A33" s="4" t="s">
        <v>14</v>
      </c>
      <c r="B33" s="4"/>
      <c r="C33" s="4" t="s">
        <v>221</v>
      </c>
      <c r="D33" s="4" t="s">
        <v>456</v>
      </c>
      <c r="E33" s="4" t="s">
        <v>839</v>
      </c>
      <c r="F33" s="19">
        <v>4.45</v>
      </c>
      <c r="G33" s="19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</v>
      </c>
      <c r="L33" s="19">
        <f>F33*K33</f>
        <v>0</v>
      </c>
      <c r="M33" s="32" t="s">
        <v>863</v>
      </c>
      <c r="P33" s="37">
        <f>IF(AG33="5",J33,0)</f>
        <v>0</v>
      </c>
      <c r="R33" s="37">
        <f>IF(AG33="1",H33,0)</f>
        <v>0</v>
      </c>
      <c r="S33" s="37">
        <f>IF(AG33="1",I33,0)</f>
        <v>0</v>
      </c>
      <c r="T33" s="37">
        <f>IF(AG33="7",H33,0)</f>
        <v>0</v>
      </c>
      <c r="U33" s="37">
        <f>IF(AG33="7",I33,0)</f>
        <v>0</v>
      </c>
      <c r="V33" s="37">
        <f>IF(AG33="2",H33,0)</f>
        <v>0</v>
      </c>
      <c r="W33" s="37">
        <f>IF(AG33="2",I33,0)</f>
        <v>0</v>
      </c>
      <c r="X33" s="37">
        <f>IF(AG33="0",J33,0)</f>
        <v>0</v>
      </c>
      <c r="Y33" s="29"/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7">
        <v>21</v>
      </c>
      <c r="AE33" s="37">
        <f>G33*0</f>
        <v>0</v>
      </c>
      <c r="AF33" s="37">
        <f>G33*(1-0)</f>
        <v>0</v>
      </c>
      <c r="AG33" s="32" t="s">
        <v>7</v>
      </c>
      <c r="AM33" s="37">
        <f>F33*AE33</f>
        <v>0</v>
      </c>
      <c r="AN33" s="37">
        <f>F33*AF33</f>
        <v>0</v>
      </c>
      <c r="AO33" s="38" t="s">
        <v>878</v>
      </c>
      <c r="AP33" s="38" t="s">
        <v>913</v>
      </c>
      <c r="AQ33" s="29" t="s">
        <v>926</v>
      </c>
      <c r="AS33" s="37">
        <f>AM33+AN33</f>
        <v>0</v>
      </c>
      <c r="AT33" s="37">
        <f>G33/(100-AU33)*100</f>
        <v>0</v>
      </c>
      <c r="AU33" s="37">
        <v>0</v>
      </c>
      <c r="AV33" s="37">
        <f>L33</f>
        <v>0</v>
      </c>
    </row>
    <row r="34" spans="4:6" ht="12.75">
      <c r="D34" s="15" t="s">
        <v>457</v>
      </c>
      <c r="F34" s="20">
        <v>3.64</v>
      </c>
    </row>
    <row r="35" spans="4:6" ht="12.75">
      <c r="D35" s="15" t="s">
        <v>458</v>
      </c>
      <c r="F35" s="20">
        <v>0.81</v>
      </c>
    </row>
    <row r="36" spans="1:48" ht="12.75">
      <c r="A36" s="4" t="s">
        <v>15</v>
      </c>
      <c r="B36" s="4"/>
      <c r="C36" s="4" t="s">
        <v>222</v>
      </c>
      <c r="D36" s="4" t="s">
        <v>459</v>
      </c>
      <c r="E36" s="4" t="s">
        <v>838</v>
      </c>
      <c r="F36" s="19">
        <v>5.96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</v>
      </c>
      <c r="L36" s="19">
        <f>F36*K36</f>
        <v>0</v>
      </c>
      <c r="M36" s="32" t="s">
        <v>863</v>
      </c>
      <c r="P36" s="37">
        <f>IF(AG36="5",J36,0)</f>
        <v>0</v>
      </c>
      <c r="R36" s="37">
        <f>IF(AG36="1",H36,0)</f>
        <v>0</v>
      </c>
      <c r="S36" s="37">
        <f>IF(AG36="1",I36,0)</f>
        <v>0</v>
      </c>
      <c r="T36" s="37">
        <f>IF(AG36="7",H36,0)</f>
        <v>0</v>
      </c>
      <c r="U36" s="37">
        <f>IF(AG36="7",I36,0)</f>
        <v>0</v>
      </c>
      <c r="V36" s="37">
        <f>IF(AG36="2",H36,0)</f>
        <v>0</v>
      </c>
      <c r="W36" s="37">
        <f>IF(AG36="2",I36,0)</f>
        <v>0</v>
      </c>
      <c r="X36" s="37">
        <f>IF(AG36="0",J36,0)</f>
        <v>0</v>
      </c>
      <c r="Y36" s="29"/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7">
        <v>21</v>
      </c>
      <c r="AE36" s="37">
        <f>G36*0</f>
        <v>0</v>
      </c>
      <c r="AF36" s="37">
        <f>G36*(1-0)</f>
        <v>0</v>
      </c>
      <c r="AG36" s="32" t="s">
        <v>7</v>
      </c>
      <c r="AM36" s="37">
        <f>F36*AE36</f>
        <v>0</v>
      </c>
      <c r="AN36" s="37">
        <f>F36*AF36</f>
        <v>0</v>
      </c>
      <c r="AO36" s="38" t="s">
        <v>878</v>
      </c>
      <c r="AP36" s="38" t="s">
        <v>913</v>
      </c>
      <c r="AQ36" s="29" t="s">
        <v>926</v>
      </c>
      <c r="AS36" s="37">
        <f>AM36+AN36</f>
        <v>0</v>
      </c>
      <c r="AT36" s="37">
        <f>G36/(100-AU36)*100</f>
        <v>0</v>
      </c>
      <c r="AU36" s="37">
        <v>0</v>
      </c>
      <c r="AV36" s="37">
        <f>L36</f>
        <v>0</v>
      </c>
    </row>
    <row r="37" spans="4:6" ht="12.75">
      <c r="D37" s="15" t="s">
        <v>460</v>
      </c>
      <c r="F37" s="20">
        <v>5.96</v>
      </c>
    </row>
    <row r="38" spans="1:48" ht="12.75">
      <c r="A38" s="6" t="s">
        <v>16</v>
      </c>
      <c r="B38" s="6"/>
      <c r="C38" s="6" t="s">
        <v>223</v>
      </c>
      <c r="D38" s="6" t="s">
        <v>461</v>
      </c>
      <c r="E38" s="6" t="s">
        <v>840</v>
      </c>
      <c r="F38" s="21">
        <v>10.73</v>
      </c>
      <c r="G38" s="21">
        <v>0</v>
      </c>
      <c r="H38" s="21">
        <f>F38*AE38</f>
        <v>0</v>
      </c>
      <c r="I38" s="21">
        <f>J38-H38</f>
        <v>0</v>
      </c>
      <c r="J38" s="21">
        <f>F38*G38</f>
        <v>0</v>
      </c>
      <c r="K38" s="21">
        <v>1</v>
      </c>
      <c r="L38" s="21">
        <f>F38*K38</f>
        <v>10.73</v>
      </c>
      <c r="M38" s="33" t="s">
        <v>863</v>
      </c>
      <c r="P38" s="37">
        <f>IF(AG38="5",J38,0)</f>
        <v>0</v>
      </c>
      <c r="R38" s="37">
        <f>IF(AG38="1",H38,0)</f>
        <v>0</v>
      </c>
      <c r="S38" s="37">
        <f>IF(AG38="1",I38,0)</f>
        <v>0</v>
      </c>
      <c r="T38" s="37">
        <f>IF(AG38="7",H38,0)</f>
        <v>0</v>
      </c>
      <c r="U38" s="37">
        <f>IF(AG38="7",I38,0)</f>
        <v>0</v>
      </c>
      <c r="V38" s="37">
        <f>IF(AG38="2",H38,0)</f>
        <v>0</v>
      </c>
      <c r="W38" s="37">
        <f>IF(AG38="2",I38,0)</f>
        <v>0</v>
      </c>
      <c r="X38" s="37">
        <f>IF(AG38="0",J38,0)</f>
        <v>0</v>
      </c>
      <c r="Y38" s="29"/>
      <c r="Z38" s="21">
        <f>IF(AD38=0,J38,0)</f>
        <v>0</v>
      </c>
      <c r="AA38" s="21">
        <f>IF(AD38=15,J38,0)</f>
        <v>0</v>
      </c>
      <c r="AB38" s="21">
        <f>IF(AD38=21,J38,0)</f>
        <v>0</v>
      </c>
      <c r="AD38" s="37">
        <v>21</v>
      </c>
      <c r="AE38" s="37">
        <f>G38*1</f>
        <v>0</v>
      </c>
      <c r="AF38" s="37">
        <f>G38*(1-1)</f>
        <v>0</v>
      </c>
      <c r="AG38" s="33" t="s">
        <v>7</v>
      </c>
      <c r="AM38" s="37">
        <f>F38*AE38</f>
        <v>0</v>
      </c>
      <c r="AN38" s="37">
        <f>F38*AF38</f>
        <v>0</v>
      </c>
      <c r="AO38" s="38" t="s">
        <v>878</v>
      </c>
      <c r="AP38" s="38" t="s">
        <v>913</v>
      </c>
      <c r="AQ38" s="29" t="s">
        <v>926</v>
      </c>
      <c r="AS38" s="37">
        <f>AM38+AN38</f>
        <v>0</v>
      </c>
      <c r="AT38" s="37">
        <f>G38/(100-AU38)*100</f>
        <v>0</v>
      </c>
      <c r="AU38" s="37">
        <v>0</v>
      </c>
      <c r="AV38" s="37">
        <f>L38</f>
        <v>10.73</v>
      </c>
    </row>
    <row r="39" spans="4:6" ht="12.75">
      <c r="D39" s="15" t="s">
        <v>462</v>
      </c>
      <c r="F39" s="20">
        <v>10.73</v>
      </c>
    </row>
    <row r="40" spans="1:37" ht="12.75">
      <c r="A40" s="5"/>
      <c r="B40" s="13"/>
      <c r="C40" s="13" t="s">
        <v>33</v>
      </c>
      <c r="D40" s="13" t="s">
        <v>463</v>
      </c>
      <c r="E40" s="5" t="s">
        <v>6</v>
      </c>
      <c r="F40" s="5" t="s">
        <v>6</v>
      </c>
      <c r="G40" s="5" t="s">
        <v>6</v>
      </c>
      <c r="H40" s="40">
        <f>SUM(H41:H59)</f>
        <v>0</v>
      </c>
      <c r="I40" s="40">
        <f>SUM(I41:I59)</f>
        <v>0</v>
      </c>
      <c r="J40" s="40">
        <f>H40+I40</f>
        <v>0</v>
      </c>
      <c r="K40" s="29"/>
      <c r="L40" s="40">
        <f>SUM(L41:L59)</f>
        <v>7.2375856</v>
      </c>
      <c r="M40" s="29"/>
      <c r="Y40" s="29"/>
      <c r="AI40" s="40">
        <f>SUM(Z41:Z59)</f>
        <v>0</v>
      </c>
      <c r="AJ40" s="40">
        <f>SUM(AA41:AA59)</f>
        <v>0</v>
      </c>
      <c r="AK40" s="40">
        <f>SUM(AB41:AB59)</f>
        <v>0</v>
      </c>
    </row>
    <row r="41" spans="1:48" ht="12.75">
      <c r="A41" s="4" t="s">
        <v>17</v>
      </c>
      <c r="B41" s="4"/>
      <c r="C41" s="4" t="s">
        <v>224</v>
      </c>
      <c r="D41" s="4" t="s">
        <v>464</v>
      </c>
      <c r="E41" s="4" t="s">
        <v>838</v>
      </c>
      <c r="F41" s="19">
        <v>0.72</v>
      </c>
      <c r="G41" s="19">
        <v>0</v>
      </c>
      <c r="H41" s="19">
        <f>F41*AE41</f>
        <v>0</v>
      </c>
      <c r="I41" s="19">
        <f>J41-H41</f>
        <v>0</v>
      </c>
      <c r="J41" s="19">
        <f>F41*G41</f>
        <v>0</v>
      </c>
      <c r="K41" s="19">
        <v>2.525</v>
      </c>
      <c r="L41" s="19">
        <f>F41*K41</f>
        <v>1.8179999999999998</v>
      </c>
      <c r="M41" s="32" t="s">
        <v>863</v>
      </c>
      <c r="P41" s="37">
        <f>IF(AG41="5",J41,0)</f>
        <v>0</v>
      </c>
      <c r="R41" s="37">
        <f>IF(AG41="1",H41,0)</f>
        <v>0</v>
      </c>
      <c r="S41" s="37">
        <f>IF(AG41="1",I41,0)</f>
        <v>0</v>
      </c>
      <c r="T41" s="37">
        <f>IF(AG41="7",H41,0)</f>
        <v>0</v>
      </c>
      <c r="U41" s="37">
        <f>IF(AG41="7",I41,0)</f>
        <v>0</v>
      </c>
      <c r="V41" s="37">
        <f>IF(AG41="2",H41,0)</f>
        <v>0</v>
      </c>
      <c r="W41" s="37">
        <f>IF(AG41="2",I41,0)</f>
        <v>0</v>
      </c>
      <c r="X41" s="37">
        <f>IF(AG41="0",J41,0)</f>
        <v>0</v>
      </c>
      <c r="Y41" s="29"/>
      <c r="Z41" s="19">
        <f>IF(AD41=0,J41,0)</f>
        <v>0</v>
      </c>
      <c r="AA41" s="19">
        <f>IF(AD41=15,J41,0)</f>
        <v>0</v>
      </c>
      <c r="AB41" s="19">
        <f>IF(AD41=21,J41,0)</f>
        <v>0</v>
      </c>
      <c r="AD41" s="37">
        <v>21</v>
      </c>
      <c r="AE41" s="37">
        <f>G41*0.901578125</f>
        <v>0</v>
      </c>
      <c r="AF41" s="37">
        <f>G41*(1-0.901578125)</f>
        <v>0</v>
      </c>
      <c r="AG41" s="32" t="s">
        <v>7</v>
      </c>
      <c r="AM41" s="37">
        <f>F41*AE41</f>
        <v>0</v>
      </c>
      <c r="AN41" s="37">
        <f>F41*AF41</f>
        <v>0</v>
      </c>
      <c r="AO41" s="38" t="s">
        <v>879</v>
      </c>
      <c r="AP41" s="38" t="s">
        <v>914</v>
      </c>
      <c r="AQ41" s="29" t="s">
        <v>926</v>
      </c>
      <c r="AS41" s="37">
        <f>AM41+AN41</f>
        <v>0</v>
      </c>
      <c r="AT41" s="37">
        <f>G41/(100-AU41)*100</f>
        <v>0</v>
      </c>
      <c r="AU41" s="37">
        <v>0</v>
      </c>
      <c r="AV41" s="37">
        <f>L41</f>
        <v>1.8179999999999998</v>
      </c>
    </row>
    <row r="42" spans="4:6" ht="12.75">
      <c r="D42" s="15" t="s">
        <v>465</v>
      </c>
      <c r="F42" s="20">
        <v>0.72</v>
      </c>
    </row>
    <row r="43" spans="1:48" ht="12.75">
      <c r="A43" s="4" t="s">
        <v>18</v>
      </c>
      <c r="B43" s="4"/>
      <c r="C43" s="4" t="s">
        <v>225</v>
      </c>
      <c r="D43" s="4" t="s">
        <v>466</v>
      </c>
      <c r="E43" s="4" t="s">
        <v>841</v>
      </c>
      <c r="F43" s="19">
        <v>0.79</v>
      </c>
      <c r="G43" s="19">
        <v>0</v>
      </c>
      <c r="H43" s="19">
        <f>F43*AE43</f>
        <v>0</v>
      </c>
      <c r="I43" s="19">
        <f>J43-H43</f>
        <v>0</v>
      </c>
      <c r="J43" s="19">
        <f>F43*G43</f>
        <v>0</v>
      </c>
      <c r="K43" s="19">
        <v>0.0002</v>
      </c>
      <c r="L43" s="19">
        <f>F43*K43</f>
        <v>0.00015800000000000002</v>
      </c>
      <c r="M43" s="32" t="s">
        <v>863</v>
      </c>
      <c r="P43" s="37">
        <f>IF(AG43="5",J43,0)</f>
        <v>0</v>
      </c>
      <c r="R43" s="37">
        <f>IF(AG43="1",H43,0)</f>
        <v>0</v>
      </c>
      <c r="S43" s="37">
        <f>IF(AG43="1",I43,0)</f>
        <v>0</v>
      </c>
      <c r="T43" s="37">
        <f>IF(AG43="7",H43,0)</f>
        <v>0</v>
      </c>
      <c r="U43" s="37">
        <f>IF(AG43="7",I43,0)</f>
        <v>0</v>
      </c>
      <c r="V43" s="37">
        <f>IF(AG43="2",H43,0)</f>
        <v>0</v>
      </c>
      <c r="W43" s="37">
        <f>IF(AG43="2",I43,0)</f>
        <v>0</v>
      </c>
      <c r="X43" s="37">
        <f>IF(AG43="0",J43,0)</f>
        <v>0</v>
      </c>
      <c r="Y43" s="29"/>
      <c r="Z43" s="19">
        <f>IF(AD43=0,J43,0)</f>
        <v>0</v>
      </c>
      <c r="AA43" s="19">
        <f>IF(AD43=15,J43,0)</f>
        <v>0</v>
      </c>
      <c r="AB43" s="19">
        <f>IF(AD43=21,J43,0)</f>
        <v>0</v>
      </c>
      <c r="AD43" s="37">
        <v>21</v>
      </c>
      <c r="AE43" s="37">
        <f>G43*0.0276290322580645</f>
        <v>0</v>
      </c>
      <c r="AF43" s="37">
        <f>G43*(1-0.0276290322580645)</f>
        <v>0</v>
      </c>
      <c r="AG43" s="32" t="s">
        <v>7</v>
      </c>
      <c r="AM43" s="37">
        <f>F43*AE43</f>
        <v>0</v>
      </c>
      <c r="AN43" s="37">
        <f>F43*AF43</f>
        <v>0</v>
      </c>
      <c r="AO43" s="38" t="s">
        <v>879</v>
      </c>
      <c r="AP43" s="38" t="s">
        <v>914</v>
      </c>
      <c r="AQ43" s="29" t="s">
        <v>926</v>
      </c>
      <c r="AS43" s="37">
        <f>AM43+AN43</f>
        <v>0</v>
      </c>
      <c r="AT43" s="37">
        <f>G43/(100-AU43)*100</f>
        <v>0</v>
      </c>
      <c r="AU43" s="37">
        <v>0</v>
      </c>
      <c r="AV43" s="37">
        <f>L43</f>
        <v>0.00015800000000000002</v>
      </c>
    </row>
    <row r="44" spans="4:6" ht="12.75">
      <c r="D44" s="15" t="s">
        <v>467</v>
      </c>
      <c r="F44" s="20">
        <v>0.79</v>
      </c>
    </row>
    <row r="45" spans="1:48" ht="12.75">
      <c r="A45" s="4" t="s">
        <v>19</v>
      </c>
      <c r="B45" s="4"/>
      <c r="C45" s="4" t="s">
        <v>226</v>
      </c>
      <c r="D45" s="4" t="s">
        <v>468</v>
      </c>
      <c r="E45" s="4" t="s">
        <v>841</v>
      </c>
      <c r="F45" s="19">
        <v>0.79</v>
      </c>
      <c r="G45" s="19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</v>
      </c>
      <c r="L45" s="19">
        <f>F45*K45</f>
        <v>0</v>
      </c>
      <c r="M45" s="32" t="s">
        <v>863</v>
      </c>
      <c r="P45" s="37">
        <f>IF(AG45="5",J45,0)</f>
        <v>0</v>
      </c>
      <c r="R45" s="37">
        <f>IF(AG45="1",H45,0)</f>
        <v>0</v>
      </c>
      <c r="S45" s="37">
        <f>IF(AG45="1",I45,0)</f>
        <v>0</v>
      </c>
      <c r="T45" s="37">
        <f>IF(AG45="7",H45,0)</f>
        <v>0</v>
      </c>
      <c r="U45" s="37">
        <f>IF(AG45="7",I45,0)</f>
        <v>0</v>
      </c>
      <c r="V45" s="37">
        <f>IF(AG45="2",H45,0)</f>
        <v>0</v>
      </c>
      <c r="W45" s="37">
        <f>IF(AG45="2",I45,0)</f>
        <v>0</v>
      </c>
      <c r="X45" s="37">
        <f>IF(AG45="0",J45,0)</f>
        <v>0</v>
      </c>
      <c r="Y45" s="29"/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7">
        <v>21</v>
      </c>
      <c r="AE45" s="37">
        <f>G45*0</f>
        <v>0</v>
      </c>
      <c r="AF45" s="37">
        <f>G45*(1-0)</f>
        <v>0</v>
      </c>
      <c r="AG45" s="32" t="s">
        <v>7</v>
      </c>
      <c r="AM45" s="37">
        <f>F45*AE45</f>
        <v>0</v>
      </c>
      <c r="AN45" s="37">
        <f>F45*AF45</f>
        <v>0</v>
      </c>
      <c r="AO45" s="38" t="s">
        <v>879</v>
      </c>
      <c r="AP45" s="38" t="s">
        <v>914</v>
      </c>
      <c r="AQ45" s="29" t="s">
        <v>926</v>
      </c>
      <c r="AS45" s="37">
        <f>AM45+AN45</f>
        <v>0</v>
      </c>
      <c r="AT45" s="37">
        <f>G45/(100-AU45)*100</f>
        <v>0</v>
      </c>
      <c r="AU45" s="37">
        <v>0</v>
      </c>
      <c r="AV45" s="37">
        <f>L45</f>
        <v>0</v>
      </c>
    </row>
    <row r="46" spans="1:48" ht="12.75">
      <c r="A46" s="4" t="s">
        <v>20</v>
      </c>
      <c r="B46" s="4"/>
      <c r="C46" s="4" t="s">
        <v>227</v>
      </c>
      <c r="D46" s="4" t="s">
        <v>469</v>
      </c>
      <c r="E46" s="4" t="s">
        <v>840</v>
      </c>
      <c r="F46" s="19">
        <v>0.02</v>
      </c>
      <c r="G46" s="19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1.05126</v>
      </c>
      <c r="L46" s="19">
        <f>F46*K46</f>
        <v>0.0210252</v>
      </c>
      <c r="M46" s="32" t="s">
        <v>863</v>
      </c>
      <c r="P46" s="37">
        <f>IF(AG46="5",J46,0)</f>
        <v>0</v>
      </c>
      <c r="R46" s="37">
        <f>IF(AG46="1",H46,0)</f>
        <v>0</v>
      </c>
      <c r="S46" s="37">
        <f>IF(AG46="1",I46,0)</f>
        <v>0</v>
      </c>
      <c r="T46" s="37">
        <f>IF(AG46="7",H46,0)</f>
        <v>0</v>
      </c>
      <c r="U46" s="37">
        <f>IF(AG46="7",I46,0)</f>
        <v>0</v>
      </c>
      <c r="V46" s="37">
        <f>IF(AG46="2",H46,0)</f>
        <v>0</v>
      </c>
      <c r="W46" s="37">
        <f>IF(AG46="2",I46,0)</f>
        <v>0</v>
      </c>
      <c r="X46" s="37">
        <f>IF(AG46="0",J46,0)</f>
        <v>0</v>
      </c>
      <c r="Y46" s="29"/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7">
        <v>21</v>
      </c>
      <c r="AE46" s="37">
        <f>G46*0.819799880881477</f>
        <v>0</v>
      </c>
      <c r="AF46" s="37">
        <f>G46*(1-0.819799880881477)</f>
        <v>0</v>
      </c>
      <c r="AG46" s="32" t="s">
        <v>7</v>
      </c>
      <c r="AM46" s="37">
        <f>F46*AE46</f>
        <v>0</v>
      </c>
      <c r="AN46" s="37">
        <f>F46*AF46</f>
        <v>0</v>
      </c>
      <c r="AO46" s="38" t="s">
        <v>879</v>
      </c>
      <c r="AP46" s="38" t="s">
        <v>914</v>
      </c>
      <c r="AQ46" s="29" t="s">
        <v>926</v>
      </c>
      <c r="AS46" s="37">
        <f>AM46+AN46</f>
        <v>0</v>
      </c>
      <c r="AT46" s="37">
        <f>G46/(100-AU46)*100</f>
        <v>0</v>
      </c>
      <c r="AU46" s="37">
        <v>0</v>
      </c>
      <c r="AV46" s="37">
        <f>L46</f>
        <v>0.0210252</v>
      </c>
    </row>
    <row r="47" ht="12.75">
      <c r="D47" s="16" t="s">
        <v>470</v>
      </c>
    </row>
    <row r="48" spans="4:6" ht="12.75">
      <c r="D48" s="15" t="s">
        <v>471</v>
      </c>
      <c r="F48" s="20">
        <v>0.02</v>
      </c>
    </row>
    <row r="49" spans="1:48" ht="12.75">
      <c r="A49" s="4" t="s">
        <v>21</v>
      </c>
      <c r="B49" s="4"/>
      <c r="C49" s="4" t="s">
        <v>228</v>
      </c>
      <c r="D49" s="4" t="s">
        <v>472</v>
      </c>
      <c r="E49" s="4" t="s">
        <v>838</v>
      </c>
      <c r="F49" s="19">
        <v>2.08</v>
      </c>
      <c r="G49" s="19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2.525</v>
      </c>
      <c r="L49" s="19">
        <f>F49*K49</f>
        <v>5.252</v>
      </c>
      <c r="M49" s="32" t="s">
        <v>863</v>
      </c>
      <c r="P49" s="37">
        <f>IF(AG49="5",J49,0)</f>
        <v>0</v>
      </c>
      <c r="R49" s="37">
        <f>IF(AG49="1",H49,0)</f>
        <v>0</v>
      </c>
      <c r="S49" s="37">
        <f>IF(AG49="1",I49,0)</f>
        <v>0</v>
      </c>
      <c r="T49" s="37">
        <f>IF(AG49="7",H49,0)</f>
        <v>0</v>
      </c>
      <c r="U49" s="37">
        <f>IF(AG49="7",I49,0)</f>
        <v>0</v>
      </c>
      <c r="V49" s="37">
        <f>IF(AG49="2",H49,0)</f>
        <v>0</v>
      </c>
      <c r="W49" s="37">
        <f>IF(AG49="2",I49,0)</f>
        <v>0</v>
      </c>
      <c r="X49" s="37">
        <f>IF(AG49="0",J49,0)</f>
        <v>0</v>
      </c>
      <c r="Y49" s="29"/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37">
        <v>21</v>
      </c>
      <c r="AE49" s="37">
        <f>G49*0.901863800090895</f>
        <v>0</v>
      </c>
      <c r="AF49" s="37">
        <f>G49*(1-0.901863800090895)</f>
        <v>0</v>
      </c>
      <c r="AG49" s="32" t="s">
        <v>7</v>
      </c>
      <c r="AM49" s="37">
        <f>F49*AE49</f>
        <v>0</v>
      </c>
      <c r="AN49" s="37">
        <f>F49*AF49</f>
        <v>0</v>
      </c>
      <c r="AO49" s="38" t="s">
        <v>879</v>
      </c>
      <c r="AP49" s="38" t="s">
        <v>914</v>
      </c>
      <c r="AQ49" s="29" t="s">
        <v>926</v>
      </c>
      <c r="AS49" s="37">
        <f>AM49+AN49</f>
        <v>0</v>
      </c>
      <c r="AT49" s="37">
        <f>G49/(100-AU49)*100</f>
        <v>0</v>
      </c>
      <c r="AU49" s="37">
        <v>0</v>
      </c>
      <c r="AV49" s="37">
        <f>L49</f>
        <v>5.252</v>
      </c>
    </row>
    <row r="50" spans="4:6" ht="12.75">
      <c r="D50" s="15" t="s">
        <v>473</v>
      </c>
      <c r="F50" s="20">
        <v>2.08</v>
      </c>
    </row>
    <row r="51" spans="1:48" ht="12.75">
      <c r="A51" s="4" t="s">
        <v>22</v>
      </c>
      <c r="B51" s="4"/>
      <c r="C51" s="4" t="s">
        <v>229</v>
      </c>
      <c r="D51" s="4" t="s">
        <v>474</v>
      </c>
      <c r="E51" s="4" t="s">
        <v>841</v>
      </c>
      <c r="F51" s="19">
        <v>3.39</v>
      </c>
      <c r="G51" s="19">
        <v>0</v>
      </c>
      <c r="H51" s="19">
        <f>F51*AE51</f>
        <v>0</v>
      </c>
      <c r="I51" s="19">
        <f>J51-H51</f>
        <v>0</v>
      </c>
      <c r="J51" s="19">
        <f>F51*G51</f>
        <v>0</v>
      </c>
      <c r="K51" s="19">
        <v>0.03916</v>
      </c>
      <c r="L51" s="19">
        <f>F51*K51</f>
        <v>0.1327524</v>
      </c>
      <c r="M51" s="32" t="s">
        <v>863</v>
      </c>
      <c r="P51" s="37">
        <f>IF(AG51="5",J51,0)</f>
        <v>0</v>
      </c>
      <c r="R51" s="37">
        <f>IF(AG51="1",H51,0)</f>
        <v>0</v>
      </c>
      <c r="S51" s="37">
        <f>IF(AG51="1",I51,0)</f>
        <v>0</v>
      </c>
      <c r="T51" s="37">
        <f>IF(AG51="7",H51,0)</f>
        <v>0</v>
      </c>
      <c r="U51" s="37">
        <f>IF(AG51="7",I51,0)</f>
        <v>0</v>
      </c>
      <c r="V51" s="37">
        <f>IF(AG51="2",H51,0)</f>
        <v>0</v>
      </c>
      <c r="W51" s="37">
        <f>IF(AG51="2",I51,0)</f>
        <v>0</v>
      </c>
      <c r="X51" s="37">
        <f>IF(AG51="0",J51,0)</f>
        <v>0</v>
      </c>
      <c r="Y51" s="29"/>
      <c r="Z51" s="19">
        <f>IF(AD51=0,J51,0)</f>
        <v>0</v>
      </c>
      <c r="AA51" s="19">
        <f>IF(AD51=15,J51,0)</f>
        <v>0</v>
      </c>
      <c r="AB51" s="19">
        <f>IF(AD51=21,J51,0)</f>
        <v>0</v>
      </c>
      <c r="AD51" s="37">
        <v>21</v>
      </c>
      <c r="AE51" s="37">
        <f>G51*0.300887573964497</f>
        <v>0</v>
      </c>
      <c r="AF51" s="37">
        <f>G51*(1-0.300887573964497)</f>
        <v>0</v>
      </c>
      <c r="AG51" s="32" t="s">
        <v>7</v>
      </c>
      <c r="AM51" s="37">
        <f>F51*AE51</f>
        <v>0</v>
      </c>
      <c r="AN51" s="37">
        <f>F51*AF51</f>
        <v>0</v>
      </c>
      <c r="AO51" s="38" t="s">
        <v>879</v>
      </c>
      <c r="AP51" s="38" t="s">
        <v>914</v>
      </c>
      <c r="AQ51" s="29" t="s">
        <v>926</v>
      </c>
      <c r="AS51" s="37">
        <f>AM51+AN51</f>
        <v>0</v>
      </c>
      <c r="AT51" s="37">
        <f>G51/(100-AU51)*100</f>
        <v>0</v>
      </c>
      <c r="AU51" s="37">
        <v>0</v>
      </c>
      <c r="AV51" s="37">
        <f>L51</f>
        <v>0.1327524</v>
      </c>
    </row>
    <row r="52" spans="4:6" ht="12.75">
      <c r="D52" s="15" t="s">
        <v>475</v>
      </c>
      <c r="F52" s="20">
        <v>1.47</v>
      </c>
    </row>
    <row r="53" spans="4:6" ht="12.75">
      <c r="D53" s="15" t="s">
        <v>476</v>
      </c>
      <c r="F53" s="20">
        <v>1.92</v>
      </c>
    </row>
    <row r="54" spans="1:48" ht="12.75">
      <c r="A54" s="4" t="s">
        <v>23</v>
      </c>
      <c r="B54" s="4"/>
      <c r="C54" s="4" t="s">
        <v>230</v>
      </c>
      <c r="D54" s="4" t="s">
        <v>477</v>
      </c>
      <c r="E54" s="4" t="s">
        <v>841</v>
      </c>
      <c r="F54" s="19">
        <v>3.39</v>
      </c>
      <c r="G54" s="19">
        <v>0</v>
      </c>
      <c r="H54" s="19">
        <f>F54*AE54</f>
        <v>0</v>
      </c>
      <c r="I54" s="19">
        <f>J54-H54</f>
        <v>0</v>
      </c>
      <c r="J54" s="19">
        <f>F54*G54</f>
        <v>0</v>
      </c>
      <c r="K54" s="19">
        <v>0</v>
      </c>
      <c r="L54" s="19">
        <f>F54*K54</f>
        <v>0</v>
      </c>
      <c r="M54" s="32" t="s">
        <v>863</v>
      </c>
      <c r="P54" s="37">
        <f>IF(AG54="5",J54,0)</f>
        <v>0</v>
      </c>
      <c r="R54" s="37">
        <f>IF(AG54="1",H54,0)</f>
        <v>0</v>
      </c>
      <c r="S54" s="37">
        <f>IF(AG54="1",I54,0)</f>
        <v>0</v>
      </c>
      <c r="T54" s="37">
        <f>IF(AG54="7",H54,0)</f>
        <v>0</v>
      </c>
      <c r="U54" s="37">
        <f>IF(AG54="7",I54,0)</f>
        <v>0</v>
      </c>
      <c r="V54" s="37">
        <f>IF(AG54="2",H54,0)</f>
        <v>0</v>
      </c>
      <c r="W54" s="37">
        <f>IF(AG54="2",I54,0)</f>
        <v>0</v>
      </c>
      <c r="X54" s="37">
        <f>IF(AG54="0",J54,0)</f>
        <v>0</v>
      </c>
      <c r="Y54" s="29"/>
      <c r="Z54" s="19">
        <f>IF(AD54=0,J54,0)</f>
        <v>0</v>
      </c>
      <c r="AA54" s="19">
        <f>IF(AD54=15,J54,0)</f>
        <v>0</v>
      </c>
      <c r="AB54" s="19">
        <f>IF(AD54=21,J54,0)</f>
        <v>0</v>
      </c>
      <c r="AD54" s="37">
        <v>21</v>
      </c>
      <c r="AE54" s="37">
        <f>G54*0</f>
        <v>0</v>
      </c>
      <c r="AF54" s="37">
        <f>G54*(1-0)</f>
        <v>0</v>
      </c>
      <c r="AG54" s="32" t="s">
        <v>7</v>
      </c>
      <c r="AM54" s="37">
        <f>F54*AE54</f>
        <v>0</v>
      </c>
      <c r="AN54" s="37">
        <f>F54*AF54</f>
        <v>0</v>
      </c>
      <c r="AO54" s="38" t="s">
        <v>879</v>
      </c>
      <c r="AP54" s="38" t="s">
        <v>914</v>
      </c>
      <c r="AQ54" s="29" t="s">
        <v>926</v>
      </c>
      <c r="AS54" s="37">
        <f>AM54+AN54</f>
        <v>0</v>
      </c>
      <c r="AT54" s="37">
        <f>G54/(100-AU54)*100</f>
        <v>0</v>
      </c>
      <c r="AU54" s="37">
        <v>0</v>
      </c>
      <c r="AV54" s="37">
        <f>L54</f>
        <v>0</v>
      </c>
    </row>
    <row r="55" spans="1:48" ht="12.75">
      <c r="A55" s="4" t="s">
        <v>24</v>
      </c>
      <c r="B55" s="4"/>
      <c r="C55" s="4" t="s">
        <v>231</v>
      </c>
      <c r="D55" s="4" t="s">
        <v>478</v>
      </c>
      <c r="E55" s="4" t="s">
        <v>839</v>
      </c>
      <c r="F55" s="19">
        <v>1</v>
      </c>
      <c r="G55" s="19">
        <v>0</v>
      </c>
      <c r="H55" s="19">
        <f>F55*AE55</f>
        <v>0</v>
      </c>
      <c r="I55" s="19">
        <f>J55-H55</f>
        <v>0</v>
      </c>
      <c r="J55" s="19">
        <f>F55*G55</f>
        <v>0</v>
      </c>
      <c r="K55" s="19">
        <v>0.00218</v>
      </c>
      <c r="L55" s="19">
        <f>F55*K55</f>
        <v>0.00218</v>
      </c>
      <c r="M55" s="32" t="s">
        <v>863</v>
      </c>
      <c r="P55" s="37">
        <f>IF(AG55="5",J55,0)</f>
        <v>0</v>
      </c>
      <c r="R55" s="37">
        <f>IF(AG55="1",H55,0)</f>
        <v>0</v>
      </c>
      <c r="S55" s="37">
        <f>IF(AG55="1",I55,0)</f>
        <v>0</v>
      </c>
      <c r="T55" s="37">
        <f>IF(AG55="7",H55,0)</f>
        <v>0</v>
      </c>
      <c r="U55" s="37">
        <f>IF(AG55="7",I55,0)</f>
        <v>0</v>
      </c>
      <c r="V55" s="37">
        <f>IF(AG55="2",H55,0)</f>
        <v>0</v>
      </c>
      <c r="W55" s="37">
        <f>IF(AG55="2",I55,0)</f>
        <v>0</v>
      </c>
      <c r="X55" s="37">
        <f>IF(AG55="0",J55,0)</f>
        <v>0</v>
      </c>
      <c r="Y55" s="29"/>
      <c r="Z55" s="19">
        <f>IF(AD55=0,J55,0)</f>
        <v>0</v>
      </c>
      <c r="AA55" s="19">
        <f>IF(AD55=15,J55,0)</f>
        <v>0</v>
      </c>
      <c r="AB55" s="19">
        <f>IF(AD55=21,J55,0)</f>
        <v>0</v>
      </c>
      <c r="AD55" s="37">
        <v>21</v>
      </c>
      <c r="AE55" s="37">
        <f>G55*0.122721088435374</f>
        <v>0</v>
      </c>
      <c r="AF55" s="37">
        <f>G55*(1-0.122721088435374)</f>
        <v>0</v>
      </c>
      <c r="AG55" s="32" t="s">
        <v>7</v>
      </c>
      <c r="AM55" s="37">
        <f>F55*AE55</f>
        <v>0</v>
      </c>
      <c r="AN55" s="37">
        <f>F55*AF55</f>
        <v>0</v>
      </c>
      <c r="AO55" s="38" t="s">
        <v>879</v>
      </c>
      <c r="AP55" s="38" t="s">
        <v>914</v>
      </c>
      <c r="AQ55" s="29" t="s">
        <v>926</v>
      </c>
      <c r="AS55" s="37">
        <f>AM55+AN55</f>
        <v>0</v>
      </c>
      <c r="AT55" s="37">
        <f>G55/(100-AU55)*100</f>
        <v>0</v>
      </c>
      <c r="AU55" s="37">
        <v>0</v>
      </c>
      <c r="AV55" s="37">
        <f>L55</f>
        <v>0.00218</v>
      </c>
    </row>
    <row r="56" spans="4:6" ht="12.75">
      <c r="D56" s="15" t="s">
        <v>479</v>
      </c>
      <c r="F56" s="20">
        <v>1</v>
      </c>
    </row>
    <row r="57" spans="1:48" ht="12.75">
      <c r="A57" s="4" t="s">
        <v>25</v>
      </c>
      <c r="B57" s="4"/>
      <c r="C57" s="4" t="s">
        <v>232</v>
      </c>
      <c r="D57" s="4" t="s">
        <v>480</v>
      </c>
      <c r="E57" s="4" t="s">
        <v>839</v>
      </c>
      <c r="F57" s="19">
        <v>1</v>
      </c>
      <c r="G57" s="19">
        <v>0</v>
      </c>
      <c r="H57" s="19">
        <f>F57*AE57</f>
        <v>0</v>
      </c>
      <c r="I57" s="19">
        <f>J57-H57</f>
        <v>0</v>
      </c>
      <c r="J57" s="19">
        <f>F57*G57</f>
        <v>0</v>
      </c>
      <c r="K57" s="19">
        <v>0.00205</v>
      </c>
      <c r="L57" s="19">
        <f>F57*K57</f>
        <v>0.00205</v>
      </c>
      <c r="M57" s="32" t="s">
        <v>863</v>
      </c>
      <c r="P57" s="37">
        <f>IF(AG57="5",J57,0)</f>
        <v>0</v>
      </c>
      <c r="R57" s="37">
        <f>IF(AG57="1",H57,0)</f>
        <v>0</v>
      </c>
      <c r="S57" s="37">
        <f>IF(AG57="1",I57,0)</f>
        <v>0</v>
      </c>
      <c r="T57" s="37">
        <f>IF(AG57="7",H57,0)</f>
        <v>0</v>
      </c>
      <c r="U57" s="37">
        <f>IF(AG57="7",I57,0)</f>
        <v>0</v>
      </c>
      <c r="V57" s="37">
        <f>IF(AG57="2",H57,0)</f>
        <v>0</v>
      </c>
      <c r="W57" s="37">
        <f>IF(AG57="2",I57,0)</f>
        <v>0</v>
      </c>
      <c r="X57" s="37">
        <f>IF(AG57="0",J57,0)</f>
        <v>0</v>
      </c>
      <c r="Y57" s="29"/>
      <c r="Z57" s="19">
        <f>IF(AD57=0,J57,0)</f>
        <v>0</v>
      </c>
      <c r="AA57" s="19">
        <f>IF(AD57=15,J57,0)</f>
        <v>0</v>
      </c>
      <c r="AB57" s="19">
        <f>IF(AD57=21,J57,0)</f>
        <v>0</v>
      </c>
      <c r="AD57" s="37">
        <v>21</v>
      </c>
      <c r="AE57" s="37">
        <f>G57*0.204545454545455</f>
        <v>0</v>
      </c>
      <c r="AF57" s="37">
        <f>G57*(1-0.204545454545455)</f>
        <v>0</v>
      </c>
      <c r="AG57" s="32" t="s">
        <v>7</v>
      </c>
      <c r="AM57" s="37">
        <f>F57*AE57</f>
        <v>0</v>
      </c>
      <c r="AN57" s="37">
        <f>F57*AF57</f>
        <v>0</v>
      </c>
      <c r="AO57" s="38" t="s">
        <v>879</v>
      </c>
      <c r="AP57" s="38" t="s">
        <v>914</v>
      </c>
      <c r="AQ57" s="29" t="s">
        <v>926</v>
      </c>
      <c r="AS57" s="37">
        <f>AM57+AN57</f>
        <v>0</v>
      </c>
      <c r="AT57" s="37">
        <f>G57/(100-AU57)*100</f>
        <v>0</v>
      </c>
      <c r="AU57" s="37">
        <v>0</v>
      </c>
      <c r="AV57" s="37">
        <f>L57</f>
        <v>0.00205</v>
      </c>
    </row>
    <row r="58" spans="4:6" ht="12.75">
      <c r="D58" s="15" t="s">
        <v>479</v>
      </c>
      <c r="F58" s="20">
        <v>1</v>
      </c>
    </row>
    <row r="59" spans="1:48" ht="12.75">
      <c r="A59" s="4" t="s">
        <v>26</v>
      </c>
      <c r="B59" s="4"/>
      <c r="C59" s="4" t="s">
        <v>233</v>
      </c>
      <c r="D59" s="4" t="s">
        <v>481</v>
      </c>
      <c r="E59" s="4" t="s">
        <v>839</v>
      </c>
      <c r="F59" s="19">
        <v>1</v>
      </c>
      <c r="G59" s="19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0.00942</v>
      </c>
      <c r="L59" s="19">
        <f>F59*K59</f>
        <v>0.00942</v>
      </c>
      <c r="M59" s="32" t="s">
        <v>863</v>
      </c>
      <c r="P59" s="37">
        <f>IF(AG59="5",J59,0)</f>
        <v>0</v>
      </c>
      <c r="R59" s="37">
        <f>IF(AG59="1",H59,0)</f>
        <v>0</v>
      </c>
      <c r="S59" s="37">
        <f>IF(AG59="1",I59,0)</f>
        <v>0</v>
      </c>
      <c r="T59" s="37">
        <f>IF(AG59="7",H59,0)</f>
        <v>0</v>
      </c>
      <c r="U59" s="37">
        <f>IF(AG59="7",I59,0)</f>
        <v>0</v>
      </c>
      <c r="V59" s="37">
        <f>IF(AG59="2",H59,0)</f>
        <v>0</v>
      </c>
      <c r="W59" s="37">
        <f>IF(AG59="2",I59,0)</f>
        <v>0</v>
      </c>
      <c r="X59" s="37">
        <f>IF(AG59="0",J59,0)</f>
        <v>0</v>
      </c>
      <c r="Y59" s="29"/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7">
        <v>21</v>
      </c>
      <c r="AE59" s="37">
        <f>G59*0.248090157909976</f>
        <v>0</v>
      </c>
      <c r="AF59" s="37">
        <f>G59*(1-0.248090157909976)</f>
        <v>0</v>
      </c>
      <c r="AG59" s="32" t="s">
        <v>7</v>
      </c>
      <c r="AM59" s="37">
        <f>F59*AE59</f>
        <v>0</v>
      </c>
      <c r="AN59" s="37">
        <f>F59*AF59</f>
        <v>0</v>
      </c>
      <c r="AO59" s="38" t="s">
        <v>879</v>
      </c>
      <c r="AP59" s="38" t="s">
        <v>914</v>
      </c>
      <c r="AQ59" s="29" t="s">
        <v>926</v>
      </c>
      <c r="AS59" s="37">
        <f>AM59+AN59</f>
        <v>0</v>
      </c>
      <c r="AT59" s="37">
        <f>G59/(100-AU59)*100</f>
        <v>0</v>
      </c>
      <c r="AU59" s="37">
        <v>0</v>
      </c>
      <c r="AV59" s="37">
        <f>L59</f>
        <v>0.00942</v>
      </c>
    </row>
    <row r="60" spans="4:6" ht="12.75">
      <c r="D60" s="15" t="s">
        <v>482</v>
      </c>
      <c r="F60" s="20">
        <v>1</v>
      </c>
    </row>
    <row r="61" spans="1:37" ht="12.75">
      <c r="A61" s="5"/>
      <c r="B61" s="13"/>
      <c r="C61" s="13" t="s">
        <v>37</v>
      </c>
      <c r="D61" s="13" t="s">
        <v>483</v>
      </c>
      <c r="E61" s="5" t="s">
        <v>6</v>
      </c>
      <c r="F61" s="5" t="s">
        <v>6</v>
      </c>
      <c r="G61" s="5" t="s">
        <v>6</v>
      </c>
      <c r="H61" s="40">
        <f>SUM(H62:H78)</f>
        <v>0</v>
      </c>
      <c r="I61" s="40">
        <f>SUM(I62:I78)</f>
        <v>0</v>
      </c>
      <c r="J61" s="40">
        <f>H61+I61</f>
        <v>0</v>
      </c>
      <c r="K61" s="29"/>
      <c r="L61" s="40">
        <f>SUM(L62:L78)</f>
        <v>15.9438227</v>
      </c>
      <c r="M61" s="29"/>
      <c r="Y61" s="29"/>
      <c r="AI61" s="40">
        <f>SUM(Z62:Z78)</f>
        <v>0</v>
      </c>
      <c r="AJ61" s="40">
        <f>SUM(AA62:AA78)</f>
        <v>0</v>
      </c>
      <c r="AK61" s="40">
        <f>SUM(AB62:AB78)</f>
        <v>0</v>
      </c>
    </row>
    <row r="62" spans="1:48" ht="12.75">
      <c r="A62" s="4" t="s">
        <v>27</v>
      </c>
      <c r="B62" s="4"/>
      <c r="C62" s="4" t="s">
        <v>234</v>
      </c>
      <c r="D62" s="4" t="s">
        <v>484</v>
      </c>
      <c r="E62" s="4" t="s">
        <v>838</v>
      </c>
      <c r="F62" s="19">
        <v>7.81</v>
      </c>
      <c r="G62" s="19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1.85024</v>
      </c>
      <c r="L62" s="19">
        <f>F62*K62</f>
        <v>14.4503744</v>
      </c>
      <c r="M62" s="32" t="s">
        <v>863</v>
      </c>
      <c r="P62" s="37">
        <f>IF(AG62="5",J62,0)</f>
        <v>0</v>
      </c>
      <c r="R62" s="37">
        <f>IF(AG62="1",H62,0)</f>
        <v>0</v>
      </c>
      <c r="S62" s="37">
        <f>IF(AG62="1",I62,0)</f>
        <v>0</v>
      </c>
      <c r="T62" s="37">
        <f>IF(AG62="7",H62,0)</f>
        <v>0</v>
      </c>
      <c r="U62" s="37">
        <f>IF(AG62="7",I62,0)</f>
        <v>0</v>
      </c>
      <c r="V62" s="37">
        <f>IF(AG62="2",H62,0)</f>
        <v>0</v>
      </c>
      <c r="W62" s="37">
        <f>IF(AG62="2",I62,0)</f>
        <v>0</v>
      </c>
      <c r="X62" s="37">
        <f>IF(AG62="0",J62,0)</f>
        <v>0</v>
      </c>
      <c r="Y62" s="29"/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37">
        <v>21</v>
      </c>
      <c r="AE62" s="37">
        <f>G62*0.660861326295675</f>
        <v>0</v>
      </c>
      <c r="AF62" s="37">
        <f>G62*(1-0.660861326295675)</f>
        <v>0</v>
      </c>
      <c r="AG62" s="32" t="s">
        <v>7</v>
      </c>
      <c r="AM62" s="37">
        <f>F62*AE62</f>
        <v>0</v>
      </c>
      <c r="AN62" s="37">
        <f>F62*AF62</f>
        <v>0</v>
      </c>
      <c r="AO62" s="38" t="s">
        <v>880</v>
      </c>
      <c r="AP62" s="38" t="s">
        <v>915</v>
      </c>
      <c r="AQ62" s="29" t="s">
        <v>926</v>
      </c>
      <c r="AS62" s="37">
        <f>AM62+AN62</f>
        <v>0</v>
      </c>
      <c r="AT62" s="37">
        <f>G62/(100-AU62)*100</f>
        <v>0</v>
      </c>
      <c r="AU62" s="37">
        <v>0</v>
      </c>
      <c r="AV62" s="37">
        <f>L62</f>
        <v>14.4503744</v>
      </c>
    </row>
    <row r="63" spans="4:6" ht="12.75">
      <c r="D63" s="15" t="s">
        <v>485</v>
      </c>
      <c r="F63" s="20">
        <v>6.85</v>
      </c>
    </row>
    <row r="64" spans="4:6" ht="12.75">
      <c r="D64" s="15" t="s">
        <v>486</v>
      </c>
      <c r="F64" s="20">
        <v>-1.7</v>
      </c>
    </row>
    <row r="65" spans="4:6" ht="12.75">
      <c r="D65" s="15" t="s">
        <v>487</v>
      </c>
      <c r="F65" s="20">
        <v>2.75</v>
      </c>
    </row>
    <row r="66" spans="4:6" ht="12.75">
      <c r="D66" s="15" t="s">
        <v>488</v>
      </c>
      <c r="F66" s="20">
        <v>-0.09</v>
      </c>
    </row>
    <row r="67" spans="1:48" ht="12.75">
      <c r="A67" s="4" t="s">
        <v>28</v>
      </c>
      <c r="B67" s="4"/>
      <c r="C67" s="4" t="s">
        <v>235</v>
      </c>
      <c r="D67" s="4" t="s">
        <v>489</v>
      </c>
      <c r="E67" s="4" t="s">
        <v>838</v>
      </c>
      <c r="F67" s="19">
        <v>0.47</v>
      </c>
      <c r="G67" s="19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2.52767</v>
      </c>
      <c r="L67" s="19">
        <f>F67*K67</f>
        <v>1.1880049</v>
      </c>
      <c r="M67" s="32" t="s">
        <v>863</v>
      </c>
      <c r="P67" s="37">
        <f>IF(AG67="5",J67,0)</f>
        <v>0</v>
      </c>
      <c r="R67" s="37">
        <f>IF(AG67="1",H67,0)</f>
        <v>0</v>
      </c>
      <c r="S67" s="37">
        <f>IF(AG67="1",I67,0)</f>
        <v>0</v>
      </c>
      <c r="T67" s="37">
        <f>IF(AG67="7",H67,0)</f>
        <v>0</v>
      </c>
      <c r="U67" s="37">
        <f>IF(AG67="7",I67,0)</f>
        <v>0</v>
      </c>
      <c r="V67" s="37">
        <f>IF(AG67="2",H67,0)</f>
        <v>0</v>
      </c>
      <c r="W67" s="37">
        <f>IF(AG67="2",I67,0)</f>
        <v>0</v>
      </c>
      <c r="X67" s="37">
        <f>IF(AG67="0",J67,0)</f>
        <v>0</v>
      </c>
      <c r="Y67" s="29"/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7">
        <v>21</v>
      </c>
      <c r="AE67" s="37">
        <f>G67*0.826900181488203</f>
        <v>0</v>
      </c>
      <c r="AF67" s="37">
        <f>G67*(1-0.826900181488203)</f>
        <v>0</v>
      </c>
      <c r="AG67" s="32" t="s">
        <v>7</v>
      </c>
      <c r="AM67" s="37">
        <f>F67*AE67</f>
        <v>0</v>
      </c>
      <c r="AN67" s="37">
        <f>F67*AF67</f>
        <v>0</v>
      </c>
      <c r="AO67" s="38" t="s">
        <v>880</v>
      </c>
      <c r="AP67" s="38" t="s">
        <v>915</v>
      </c>
      <c r="AQ67" s="29" t="s">
        <v>926</v>
      </c>
      <c r="AS67" s="37">
        <f>AM67+AN67</f>
        <v>0</v>
      </c>
      <c r="AT67" s="37">
        <f>G67/(100-AU67)*100</f>
        <v>0</v>
      </c>
      <c r="AU67" s="37">
        <v>0</v>
      </c>
      <c r="AV67" s="37">
        <f>L67</f>
        <v>1.1880049</v>
      </c>
    </row>
    <row r="68" spans="4:6" ht="12.75">
      <c r="D68" s="15" t="s">
        <v>490</v>
      </c>
      <c r="F68" s="20">
        <v>0.58</v>
      </c>
    </row>
    <row r="69" spans="4:6" ht="12.75">
      <c r="D69" s="15" t="s">
        <v>491</v>
      </c>
      <c r="F69" s="20">
        <v>-0.11</v>
      </c>
    </row>
    <row r="70" spans="1:48" ht="12.75">
      <c r="A70" s="4" t="s">
        <v>29</v>
      </c>
      <c r="B70" s="4"/>
      <c r="C70" s="4" t="s">
        <v>236</v>
      </c>
      <c r="D70" s="4" t="s">
        <v>492</v>
      </c>
      <c r="E70" s="4" t="s">
        <v>841</v>
      </c>
      <c r="F70" s="19">
        <v>3.86</v>
      </c>
      <c r="G70" s="19">
        <v>0</v>
      </c>
      <c r="H70" s="19">
        <f>F70*AE70</f>
        <v>0</v>
      </c>
      <c r="I70" s="19">
        <f>J70-H70</f>
        <v>0</v>
      </c>
      <c r="J70" s="19">
        <f>F70*G70</f>
        <v>0</v>
      </c>
      <c r="K70" s="19">
        <v>0.03718</v>
      </c>
      <c r="L70" s="19">
        <f>F70*K70</f>
        <v>0.1435148</v>
      </c>
      <c r="M70" s="32" t="s">
        <v>863</v>
      </c>
      <c r="P70" s="37">
        <f>IF(AG70="5",J70,0)</f>
        <v>0</v>
      </c>
      <c r="R70" s="37">
        <f>IF(AG70="1",H70,0)</f>
        <v>0</v>
      </c>
      <c r="S70" s="37">
        <f>IF(AG70="1",I70,0)</f>
        <v>0</v>
      </c>
      <c r="T70" s="37">
        <f>IF(AG70="7",H70,0)</f>
        <v>0</v>
      </c>
      <c r="U70" s="37">
        <f>IF(AG70="7",I70,0)</f>
        <v>0</v>
      </c>
      <c r="V70" s="37">
        <f>IF(AG70="2",H70,0)</f>
        <v>0</v>
      </c>
      <c r="W70" s="37">
        <f>IF(AG70="2",I70,0)</f>
        <v>0</v>
      </c>
      <c r="X70" s="37">
        <f>IF(AG70="0",J70,0)</f>
        <v>0</v>
      </c>
      <c r="Y70" s="29"/>
      <c r="Z70" s="19">
        <f>IF(AD70=0,J70,0)</f>
        <v>0</v>
      </c>
      <c r="AA70" s="19">
        <f>IF(AD70=15,J70,0)</f>
        <v>0</v>
      </c>
      <c r="AB70" s="19">
        <f>IF(AD70=21,J70,0)</f>
        <v>0</v>
      </c>
      <c r="AD70" s="37">
        <v>21</v>
      </c>
      <c r="AE70" s="37">
        <f>G70*0.534756342900149</f>
        <v>0</v>
      </c>
      <c r="AF70" s="37">
        <f>G70*(1-0.534756342900149)</f>
        <v>0</v>
      </c>
      <c r="AG70" s="32" t="s">
        <v>7</v>
      </c>
      <c r="AM70" s="37">
        <f>F70*AE70</f>
        <v>0</v>
      </c>
      <c r="AN70" s="37">
        <f>F70*AF70</f>
        <v>0</v>
      </c>
      <c r="AO70" s="38" t="s">
        <v>880</v>
      </c>
      <c r="AP70" s="38" t="s">
        <v>915</v>
      </c>
      <c r="AQ70" s="29" t="s">
        <v>926</v>
      </c>
      <c r="AS70" s="37">
        <f>AM70+AN70</f>
        <v>0</v>
      </c>
      <c r="AT70" s="37">
        <f>G70/(100-AU70)*100</f>
        <v>0</v>
      </c>
      <c r="AU70" s="37">
        <v>0</v>
      </c>
      <c r="AV70" s="37">
        <f>L70</f>
        <v>0.1435148</v>
      </c>
    </row>
    <row r="71" ht="12.75">
      <c r="D71" s="16" t="s">
        <v>493</v>
      </c>
    </row>
    <row r="72" spans="4:6" ht="12.75">
      <c r="D72" s="15" t="s">
        <v>494</v>
      </c>
      <c r="F72" s="20">
        <v>3.86</v>
      </c>
    </row>
    <row r="73" spans="1:48" ht="12.75">
      <c r="A73" s="4" t="s">
        <v>30</v>
      </c>
      <c r="B73" s="4"/>
      <c r="C73" s="4" t="s">
        <v>237</v>
      </c>
      <c r="D73" s="4" t="s">
        <v>495</v>
      </c>
      <c r="E73" s="4" t="s">
        <v>841</v>
      </c>
      <c r="F73" s="19">
        <v>3.86</v>
      </c>
      <c r="G73" s="19">
        <v>0</v>
      </c>
      <c r="H73" s="19">
        <f>F73*AE73</f>
        <v>0</v>
      </c>
      <c r="I73" s="19">
        <f>J73-H73</f>
        <v>0</v>
      </c>
      <c r="J73" s="19">
        <f>F73*G73</f>
        <v>0</v>
      </c>
      <c r="K73" s="19">
        <v>0</v>
      </c>
      <c r="L73" s="19">
        <f>F73*K73</f>
        <v>0</v>
      </c>
      <c r="M73" s="32" t="s">
        <v>863</v>
      </c>
      <c r="P73" s="37">
        <f>IF(AG73="5",J73,0)</f>
        <v>0</v>
      </c>
      <c r="R73" s="37">
        <f>IF(AG73="1",H73,0)</f>
        <v>0</v>
      </c>
      <c r="S73" s="37">
        <f>IF(AG73="1",I73,0)</f>
        <v>0</v>
      </c>
      <c r="T73" s="37">
        <f>IF(AG73="7",H73,0)</f>
        <v>0</v>
      </c>
      <c r="U73" s="37">
        <f>IF(AG73="7",I73,0)</f>
        <v>0</v>
      </c>
      <c r="V73" s="37">
        <f>IF(AG73="2",H73,0)</f>
        <v>0</v>
      </c>
      <c r="W73" s="37">
        <f>IF(AG73="2",I73,0)</f>
        <v>0</v>
      </c>
      <c r="X73" s="37">
        <f>IF(AG73="0",J73,0)</f>
        <v>0</v>
      </c>
      <c r="Y73" s="29"/>
      <c r="Z73" s="19">
        <f>IF(AD73=0,J73,0)</f>
        <v>0</v>
      </c>
      <c r="AA73" s="19">
        <f>IF(AD73=15,J73,0)</f>
        <v>0</v>
      </c>
      <c r="AB73" s="19">
        <f>IF(AD73=21,J73,0)</f>
        <v>0</v>
      </c>
      <c r="AD73" s="37">
        <v>21</v>
      </c>
      <c r="AE73" s="37">
        <f>G73*0</f>
        <v>0</v>
      </c>
      <c r="AF73" s="37">
        <f>G73*(1-0)</f>
        <v>0</v>
      </c>
      <c r="AG73" s="32" t="s">
        <v>7</v>
      </c>
      <c r="AM73" s="37">
        <f>F73*AE73</f>
        <v>0</v>
      </c>
      <c r="AN73" s="37">
        <f>F73*AF73</f>
        <v>0</v>
      </c>
      <c r="AO73" s="38" t="s">
        <v>880</v>
      </c>
      <c r="AP73" s="38" t="s">
        <v>915</v>
      </c>
      <c r="AQ73" s="29" t="s">
        <v>926</v>
      </c>
      <c r="AS73" s="37">
        <f>AM73+AN73</f>
        <v>0</v>
      </c>
      <c r="AT73" s="37">
        <f>G73/(100-AU73)*100</f>
        <v>0</v>
      </c>
      <c r="AU73" s="37">
        <v>0</v>
      </c>
      <c r="AV73" s="37">
        <f>L73</f>
        <v>0</v>
      </c>
    </row>
    <row r="74" spans="1:48" ht="12.75">
      <c r="A74" s="4" t="s">
        <v>31</v>
      </c>
      <c r="B74" s="4"/>
      <c r="C74" s="4" t="s">
        <v>238</v>
      </c>
      <c r="D74" s="4" t="s">
        <v>496</v>
      </c>
      <c r="E74" s="4" t="s">
        <v>839</v>
      </c>
      <c r="F74" s="19">
        <v>3</v>
      </c>
      <c r="G74" s="19">
        <v>0</v>
      </c>
      <c r="H74" s="19">
        <f>F74*AE74</f>
        <v>0</v>
      </c>
      <c r="I74" s="19">
        <f>J74-H74</f>
        <v>0</v>
      </c>
      <c r="J74" s="19">
        <f>F74*G74</f>
        <v>0</v>
      </c>
      <c r="K74" s="19">
        <v>0.02338</v>
      </c>
      <c r="L74" s="19">
        <f>F74*K74</f>
        <v>0.07014000000000001</v>
      </c>
      <c r="M74" s="32" t="s">
        <v>863</v>
      </c>
      <c r="P74" s="37">
        <f>IF(AG74="5",J74,0)</f>
        <v>0</v>
      </c>
      <c r="R74" s="37">
        <f>IF(AG74="1",H74,0)</f>
        <v>0</v>
      </c>
      <c r="S74" s="37">
        <f>IF(AG74="1",I74,0)</f>
        <v>0</v>
      </c>
      <c r="T74" s="37">
        <f>IF(AG74="7",H74,0)</f>
        <v>0</v>
      </c>
      <c r="U74" s="37">
        <f>IF(AG74="7",I74,0)</f>
        <v>0</v>
      </c>
      <c r="V74" s="37">
        <f>IF(AG74="2",H74,0)</f>
        <v>0</v>
      </c>
      <c r="W74" s="37">
        <f>IF(AG74="2",I74,0)</f>
        <v>0</v>
      </c>
      <c r="X74" s="37">
        <f>IF(AG74="0",J74,0)</f>
        <v>0</v>
      </c>
      <c r="Y74" s="29"/>
      <c r="Z74" s="19">
        <f>IF(AD74=0,J74,0)</f>
        <v>0</v>
      </c>
      <c r="AA74" s="19">
        <f>IF(AD74=15,J74,0)</f>
        <v>0</v>
      </c>
      <c r="AB74" s="19">
        <f>IF(AD74=21,J74,0)</f>
        <v>0</v>
      </c>
      <c r="AD74" s="37">
        <v>21</v>
      </c>
      <c r="AE74" s="37">
        <f>G74*0.352837837837838</f>
        <v>0</v>
      </c>
      <c r="AF74" s="37">
        <f>G74*(1-0.352837837837838)</f>
        <v>0</v>
      </c>
      <c r="AG74" s="32" t="s">
        <v>7</v>
      </c>
      <c r="AM74" s="37">
        <f>F74*AE74</f>
        <v>0</v>
      </c>
      <c r="AN74" s="37">
        <f>F74*AF74</f>
        <v>0</v>
      </c>
      <c r="AO74" s="38" t="s">
        <v>880</v>
      </c>
      <c r="AP74" s="38" t="s">
        <v>915</v>
      </c>
      <c r="AQ74" s="29" t="s">
        <v>926</v>
      </c>
      <c r="AS74" s="37">
        <f>AM74+AN74</f>
        <v>0</v>
      </c>
      <c r="AT74" s="37">
        <f>G74/(100-AU74)*100</f>
        <v>0</v>
      </c>
      <c r="AU74" s="37">
        <v>0</v>
      </c>
      <c r="AV74" s="37">
        <f>L74</f>
        <v>0.07014000000000001</v>
      </c>
    </row>
    <row r="75" spans="1:48" ht="12.75">
      <c r="A75" s="4" t="s">
        <v>32</v>
      </c>
      <c r="B75" s="4"/>
      <c r="C75" s="4" t="s">
        <v>239</v>
      </c>
      <c r="D75" s="4" t="s">
        <v>497</v>
      </c>
      <c r="E75" s="4" t="s">
        <v>840</v>
      </c>
      <c r="F75" s="19">
        <v>0.04</v>
      </c>
      <c r="G75" s="19">
        <v>0</v>
      </c>
      <c r="H75" s="19">
        <f>F75*AE75</f>
        <v>0</v>
      </c>
      <c r="I75" s="19">
        <f>J75-H75</f>
        <v>0</v>
      </c>
      <c r="J75" s="19">
        <f>F75*G75</f>
        <v>0</v>
      </c>
      <c r="K75" s="19">
        <v>1.02029</v>
      </c>
      <c r="L75" s="19">
        <f>F75*K75</f>
        <v>0.040811599999999996</v>
      </c>
      <c r="M75" s="32" t="s">
        <v>863</v>
      </c>
      <c r="P75" s="37">
        <f>IF(AG75="5",J75,0)</f>
        <v>0</v>
      </c>
      <c r="R75" s="37">
        <f>IF(AG75="1",H75,0)</f>
        <v>0</v>
      </c>
      <c r="S75" s="37">
        <f>IF(AG75="1",I75,0)</f>
        <v>0</v>
      </c>
      <c r="T75" s="37">
        <f>IF(AG75="7",H75,0)</f>
        <v>0</v>
      </c>
      <c r="U75" s="37">
        <f>IF(AG75="7",I75,0)</f>
        <v>0</v>
      </c>
      <c r="V75" s="37">
        <f>IF(AG75="2",H75,0)</f>
        <v>0</v>
      </c>
      <c r="W75" s="37">
        <f>IF(AG75="2",I75,0)</f>
        <v>0</v>
      </c>
      <c r="X75" s="37">
        <f>IF(AG75="0",J75,0)</f>
        <v>0</v>
      </c>
      <c r="Y75" s="29"/>
      <c r="Z75" s="19">
        <f>IF(AD75=0,J75,0)</f>
        <v>0</v>
      </c>
      <c r="AA75" s="19">
        <f>IF(AD75=15,J75,0)</f>
        <v>0</v>
      </c>
      <c r="AB75" s="19">
        <f>IF(AD75=21,J75,0)</f>
        <v>0</v>
      </c>
      <c r="AD75" s="37">
        <v>21</v>
      </c>
      <c r="AE75" s="37">
        <f>G75*0.639811644925231</f>
        <v>0</v>
      </c>
      <c r="AF75" s="37">
        <f>G75*(1-0.639811644925231)</f>
        <v>0</v>
      </c>
      <c r="AG75" s="32" t="s">
        <v>7</v>
      </c>
      <c r="AM75" s="37">
        <f>F75*AE75</f>
        <v>0</v>
      </c>
      <c r="AN75" s="37">
        <f>F75*AF75</f>
        <v>0</v>
      </c>
      <c r="AO75" s="38" t="s">
        <v>880</v>
      </c>
      <c r="AP75" s="38" t="s">
        <v>915</v>
      </c>
      <c r="AQ75" s="29" t="s">
        <v>926</v>
      </c>
      <c r="AS75" s="37">
        <f>AM75+AN75</f>
        <v>0</v>
      </c>
      <c r="AT75" s="37">
        <f>G75/(100-AU75)*100</f>
        <v>0</v>
      </c>
      <c r="AU75" s="37">
        <v>0</v>
      </c>
      <c r="AV75" s="37">
        <f>L75</f>
        <v>0.040811599999999996</v>
      </c>
    </row>
    <row r="76" spans="1:48" ht="12.75">
      <c r="A76" s="4" t="s">
        <v>33</v>
      </c>
      <c r="B76" s="4"/>
      <c r="C76" s="4" t="s">
        <v>240</v>
      </c>
      <c r="D76" s="4" t="s">
        <v>498</v>
      </c>
      <c r="E76" s="4" t="s">
        <v>840</v>
      </c>
      <c r="F76" s="19">
        <v>0.05</v>
      </c>
      <c r="G76" s="19">
        <v>0</v>
      </c>
      <c r="H76" s="19">
        <f>F76*AE76</f>
        <v>0</v>
      </c>
      <c r="I76" s="19">
        <f>J76-H76</f>
        <v>0</v>
      </c>
      <c r="J76" s="19">
        <f>F76*G76</f>
        <v>0</v>
      </c>
      <c r="K76" s="19">
        <v>0.01954</v>
      </c>
      <c r="L76" s="19">
        <f>F76*K76</f>
        <v>0.000977</v>
      </c>
      <c r="M76" s="32" t="s">
        <v>863</v>
      </c>
      <c r="P76" s="37">
        <f>IF(AG76="5",J76,0)</f>
        <v>0</v>
      </c>
      <c r="R76" s="37">
        <f>IF(AG76="1",H76,0)</f>
        <v>0</v>
      </c>
      <c r="S76" s="37">
        <f>IF(AG76="1",I76,0)</f>
        <v>0</v>
      </c>
      <c r="T76" s="37">
        <f>IF(AG76="7",H76,0)</f>
        <v>0</v>
      </c>
      <c r="U76" s="37">
        <f>IF(AG76="7",I76,0)</f>
        <v>0</v>
      </c>
      <c r="V76" s="37">
        <f>IF(AG76="2",H76,0)</f>
        <v>0</v>
      </c>
      <c r="W76" s="37">
        <f>IF(AG76="2",I76,0)</f>
        <v>0</v>
      </c>
      <c r="X76" s="37">
        <f>IF(AG76="0",J76,0)</f>
        <v>0</v>
      </c>
      <c r="Y76" s="29"/>
      <c r="Z76" s="19">
        <f>IF(AD76=0,J76,0)</f>
        <v>0</v>
      </c>
      <c r="AA76" s="19">
        <f>IF(AD76=15,J76,0)</f>
        <v>0</v>
      </c>
      <c r="AB76" s="19">
        <f>IF(AD76=21,J76,0)</f>
        <v>0</v>
      </c>
      <c r="AD76" s="37">
        <v>21</v>
      </c>
      <c r="AE76" s="37">
        <f>G76*0.00238110072689512</f>
        <v>0</v>
      </c>
      <c r="AF76" s="37">
        <f>G76*(1-0.00238110072689512)</f>
        <v>0</v>
      </c>
      <c r="AG76" s="32" t="s">
        <v>7</v>
      </c>
      <c r="AM76" s="37">
        <f>F76*AE76</f>
        <v>0</v>
      </c>
      <c r="AN76" s="37">
        <f>F76*AF76</f>
        <v>0</v>
      </c>
      <c r="AO76" s="38" t="s">
        <v>880</v>
      </c>
      <c r="AP76" s="38" t="s">
        <v>915</v>
      </c>
      <c r="AQ76" s="29" t="s">
        <v>926</v>
      </c>
      <c r="AS76" s="37">
        <f>AM76+AN76</f>
        <v>0</v>
      </c>
      <c r="AT76" s="37">
        <f>G76/(100-AU76)*100</f>
        <v>0</v>
      </c>
      <c r="AU76" s="37">
        <v>0</v>
      </c>
      <c r="AV76" s="37">
        <f>L76</f>
        <v>0.000977</v>
      </c>
    </row>
    <row r="77" spans="4:6" ht="12.75">
      <c r="D77" s="15" t="s">
        <v>499</v>
      </c>
      <c r="F77" s="20">
        <v>0.05</v>
      </c>
    </row>
    <row r="78" spans="1:48" ht="12.75">
      <c r="A78" s="6" t="s">
        <v>34</v>
      </c>
      <c r="B78" s="6"/>
      <c r="C78" s="6" t="s">
        <v>241</v>
      </c>
      <c r="D78" s="6" t="s">
        <v>500</v>
      </c>
      <c r="E78" s="6" t="s">
        <v>840</v>
      </c>
      <c r="F78" s="21">
        <v>0.05</v>
      </c>
      <c r="G78" s="21">
        <v>0</v>
      </c>
      <c r="H78" s="21">
        <f>F78*AE78</f>
        <v>0</v>
      </c>
      <c r="I78" s="21">
        <f>J78-H78</f>
        <v>0</v>
      </c>
      <c r="J78" s="21">
        <f>F78*G78</f>
        <v>0</v>
      </c>
      <c r="K78" s="21">
        <v>1</v>
      </c>
      <c r="L78" s="21">
        <f>F78*K78</f>
        <v>0.05</v>
      </c>
      <c r="M78" s="33" t="s">
        <v>863</v>
      </c>
      <c r="P78" s="37">
        <f>IF(AG78="5",J78,0)</f>
        <v>0</v>
      </c>
      <c r="R78" s="37">
        <f>IF(AG78="1",H78,0)</f>
        <v>0</v>
      </c>
      <c r="S78" s="37">
        <f>IF(AG78="1",I78,0)</f>
        <v>0</v>
      </c>
      <c r="T78" s="37">
        <f>IF(AG78="7",H78,0)</f>
        <v>0</v>
      </c>
      <c r="U78" s="37">
        <f>IF(AG78="7",I78,0)</f>
        <v>0</v>
      </c>
      <c r="V78" s="37">
        <f>IF(AG78="2",H78,0)</f>
        <v>0</v>
      </c>
      <c r="W78" s="37">
        <f>IF(AG78="2",I78,0)</f>
        <v>0</v>
      </c>
      <c r="X78" s="37">
        <f>IF(AG78="0",J78,0)</f>
        <v>0</v>
      </c>
      <c r="Y78" s="29"/>
      <c r="Z78" s="21">
        <f>IF(AD78=0,J78,0)</f>
        <v>0</v>
      </c>
      <c r="AA78" s="21">
        <f>IF(AD78=15,J78,0)</f>
        <v>0</v>
      </c>
      <c r="AB78" s="21">
        <f>IF(AD78=21,J78,0)</f>
        <v>0</v>
      </c>
      <c r="AD78" s="37">
        <v>21</v>
      </c>
      <c r="AE78" s="37">
        <f>G78*1</f>
        <v>0</v>
      </c>
      <c r="AF78" s="37">
        <f>G78*(1-1)</f>
        <v>0</v>
      </c>
      <c r="AG78" s="33" t="s">
        <v>7</v>
      </c>
      <c r="AM78" s="37">
        <f>F78*AE78</f>
        <v>0</v>
      </c>
      <c r="AN78" s="37">
        <f>F78*AF78</f>
        <v>0</v>
      </c>
      <c r="AO78" s="38" t="s">
        <v>880</v>
      </c>
      <c r="AP78" s="38" t="s">
        <v>915</v>
      </c>
      <c r="AQ78" s="29" t="s">
        <v>926</v>
      </c>
      <c r="AS78" s="37">
        <f>AM78+AN78</f>
        <v>0</v>
      </c>
      <c r="AT78" s="37">
        <f>G78/(100-AU78)*100</f>
        <v>0</v>
      </c>
      <c r="AU78" s="37">
        <v>0</v>
      </c>
      <c r="AV78" s="37">
        <f>L78</f>
        <v>0.05</v>
      </c>
    </row>
    <row r="79" spans="4:6" ht="12.75">
      <c r="D79" s="15" t="s">
        <v>499</v>
      </c>
      <c r="F79" s="20">
        <v>0.05</v>
      </c>
    </row>
    <row r="80" spans="4:6" ht="12.75">
      <c r="D80" s="15" t="s">
        <v>501</v>
      </c>
      <c r="F80" s="20">
        <v>0</v>
      </c>
    </row>
    <row r="81" spans="1:37" ht="12.75">
      <c r="A81" s="5"/>
      <c r="B81" s="13"/>
      <c r="C81" s="13" t="s">
        <v>39</v>
      </c>
      <c r="D81" s="13" t="s">
        <v>502</v>
      </c>
      <c r="E81" s="5" t="s">
        <v>6</v>
      </c>
      <c r="F81" s="5" t="s">
        <v>6</v>
      </c>
      <c r="G81" s="5" t="s">
        <v>6</v>
      </c>
      <c r="H81" s="40">
        <f>SUM(H82:H82)</f>
        <v>0</v>
      </c>
      <c r="I81" s="40">
        <f>SUM(I82:I82)</f>
        <v>0</v>
      </c>
      <c r="J81" s="40">
        <f>H81+I81</f>
        <v>0</v>
      </c>
      <c r="K81" s="29"/>
      <c r="L81" s="40">
        <f>SUM(L82:L82)</f>
        <v>0.48055280000000006</v>
      </c>
      <c r="M81" s="29"/>
      <c r="Y81" s="29"/>
      <c r="AI81" s="40">
        <f>SUM(Z82:Z82)</f>
        <v>0</v>
      </c>
      <c r="AJ81" s="40">
        <f>SUM(AA82:AA82)</f>
        <v>0</v>
      </c>
      <c r="AK81" s="40">
        <f>SUM(AB82:AB82)</f>
        <v>0</v>
      </c>
    </row>
    <row r="82" spans="1:48" ht="12.75">
      <c r="A82" s="4" t="s">
        <v>35</v>
      </c>
      <c r="B82" s="4"/>
      <c r="C82" s="4" t="s">
        <v>242</v>
      </c>
      <c r="D82" s="4" t="s">
        <v>503</v>
      </c>
      <c r="E82" s="4" t="s">
        <v>838</v>
      </c>
      <c r="F82" s="19">
        <v>0.23</v>
      </c>
      <c r="G82" s="19">
        <v>0</v>
      </c>
      <c r="H82" s="19">
        <f>F82*AE82</f>
        <v>0</v>
      </c>
      <c r="I82" s="19">
        <f>J82-H82</f>
        <v>0</v>
      </c>
      <c r="J82" s="19">
        <f>F82*G82</f>
        <v>0</v>
      </c>
      <c r="K82" s="19">
        <v>2.08936</v>
      </c>
      <c r="L82" s="19">
        <f>F82*K82</f>
        <v>0.48055280000000006</v>
      </c>
      <c r="M82" s="32" t="s">
        <v>863</v>
      </c>
      <c r="P82" s="37">
        <f>IF(AG82="5",J82,0)</f>
        <v>0</v>
      </c>
      <c r="R82" s="37">
        <f>IF(AG82="1",H82,0)</f>
        <v>0</v>
      </c>
      <c r="S82" s="37">
        <f>IF(AG82="1",I82,0)</f>
        <v>0</v>
      </c>
      <c r="T82" s="37">
        <f>IF(AG82="7",H82,0)</f>
        <v>0</v>
      </c>
      <c r="U82" s="37">
        <f>IF(AG82="7",I82,0)</f>
        <v>0</v>
      </c>
      <c r="V82" s="37">
        <f>IF(AG82="2",H82,0)</f>
        <v>0</v>
      </c>
      <c r="W82" s="37">
        <f>IF(AG82="2",I82,0)</f>
        <v>0</v>
      </c>
      <c r="X82" s="37">
        <f>IF(AG82="0",J82,0)</f>
        <v>0</v>
      </c>
      <c r="Y82" s="29"/>
      <c r="Z82" s="19">
        <f>IF(AD82=0,J82,0)</f>
        <v>0</v>
      </c>
      <c r="AA82" s="19">
        <f>IF(AD82=15,J82,0)</f>
        <v>0</v>
      </c>
      <c r="AB82" s="19">
        <f>IF(AD82=21,J82,0)</f>
        <v>0</v>
      </c>
      <c r="AD82" s="37">
        <v>21</v>
      </c>
      <c r="AE82" s="37">
        <f>G82*0.604217294900222</f>
        <v>0</v>
      </c>
      <c r="AF82" s="37">
        <f>G82*(1-0.604217294900222)</f>
        <v>0</v>
      </c>
      <c r="AG82" s="32" t="s">
        <v>7</v>
      </c>
      <c r="AM82" s="37">
        <f>F82*AE82</f>
        <v>0</v>
      </c>
      <c r="AN82" s="37">
        <f>F82*AF82</f>
        <v>0</v>
      </c>
      <c r="AO82" s="38" t="s">
        <v>881</v>
      </c>
      <c r="AP82" s="38" t="s">
        <v>915</v>
      </c>
      <c r="AQ82" s="29" t="s">
        <v>926</v>
      </c>
      <c r="AS82" s="37">
        <f>AM82+AN82</f>
        <v>0</v>
      </c>
      <c r="AT82" s="37">
        <f>G82/(100-AU82)*100</f>
        <v>0</v>
      </c>
      <c r="AU82" s="37">
        <v>0</v>
      </c>
      <c r="AV82" s="37">
        <f>L82</f>
        <v>0.48055280000000006</v>
      </c>
    </row>
    <row r="83" spans="4:6" ht="12.75">
      <c r="D83" s="15" t="s">
        <v>504</v>
      </c>
      <c r="F83" s="20">
        <v>0.23</v>
      </c>
    </row>
    <row r="84" spans="1:37" ht="12.75">
      <c r="A84" s="5"/>
      <c r="B84" s="13"/>
      <c r="C84" s="13" t="s">
        <v>40</v>
      </c>
      <c r="D84" s="13" t="s">
        <v>505</v>
      </c>
      <c r="E84" s="5" t="s">
        <v>6</v>
      </c>
      <c r="F84" s="5" t="s">
        <v>6</v>
      </c>
      <c r="G84" s="5" t="s">
        <v>6</v>
      </c>
      <c r="H84" s="40">
        <f>SUM(H85:H87)</f>
        <v>0</v>
      </c>
      <c r="I84" s="40">
        <f>SUM(I85:I87)</f>
        <v>0</v>
      </c>
      <c r="J84" s="40">
        <f>H84+I84</f>
        <v>0</v>
      </c>
      <c r="K84" s="29"/>
      <c r="L84" s="40">
        <f>SUM(L85:L87)</f>
        <v>0.2375745</v>
      </c>
      <c r="M84" s="29"/>
      <c r="Y84" s="29"/>
      <c r="AI84" s="40">
        <f>SUM(Z85:Z87)</f>
        <v>0</v>
      </c>
      <c r="AJ84" s="40">
        <f>SUM(AA85:AA87)</f>
        <v>0</v>
      </c>
      <c r="AK84" s="40">
        <f>SUM(AB85:AB87)</f>
        <v>0</v>
      </c>
    </row>
    <row r="85" spans="1:48" ht="12.75">
      <c r="A85" s="4" t="s">
        <v>36</v>
      </c>
      <c r="B85" s="4"/>
      <c r="C85" s="4" t="s">
        <v>243</v>
      </c>
      <c r="D85" s="4" t="s">
        <v>506</v>
      </c>
      <c r="E85" s="4" t="s">
        <v>841</v>
      </c>
      <c r="F85" s="19">
        <v>2.33</v>
      </c>
      <c r="G85" s="19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0.08857</v>
      </c>
      <c r="L85" s="19">
        <f>F85*K85</f>
        <v>0.2063681</v>
      </c>
      <c r="M85" s="32" t="s">
        <v>863</v>
      </c>
      <c r="P85" s="37">
        <f>IF(AG85="5",J85,0)</f>
        <v>0</v>
      </c>
      <c r="R85" s="37">
        <f>IF(AG85="1",H85,0)</f>
        <v>0</v>
      </c>
      <c r="S85" s="37">
        <f>IF(AG85="1",I85,0)</f>
        <v>0</v>
      </c>
      <c r="T85" s="37">
        <f>IF(AG85="7",H85,0)</f>
        <v>0</v>
      </c>
      <c r="U85" s="37">
        <f>IF(AG85="7",I85,0)</f>
        <v>0</v>
      </c>
      <c r="V85" s="37">
        <f>IF(AG85="2",H85,0)</f>
        <v>0</v>
      </c>
      <c r="W85" s="37">
        <f>IF(AG85="2",I85,0)</f>
        <v>0</v>
      </c>
      <c r="X85" s="37">
        <f>IF(AG85="0",J85,0)</f>
        <v>0</v>
      </c>
      <c r="Y85" s="29"/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7">
        <v>21</v>
      </c>
      <c r="AE85" s="37">
        <f>G85*0.603191881918819</f>
        <v>0</v>
      </c>
      <c r="AF85" s="37">
        <f>G85*(1-0.603191881918819)</f>
        <v>0</v>
      </c>
      <c r="AG85" s="32" t="s">
        <v>7</v>
      </c>
      <c r="AM85" s="37">
        <f>F85*AE85</f>
        <v>0</v>
      </c>
      <c r="AN85" s="37">
        <f>F85*AF85</f>
        <v>0</v>
      </c>
      <c r="AO85" s="38" t="s">
        <v>882</v>
      </c>
      <c r="AP85" s="38" t="s">
        <v>915</v>
      </c>
      <c r="AQ85" s="29" t="s">
        <v>926</v>
      </c>
      <c r="AS85" s="37">
        <f>AM85+AN85</f>
        <v>0</v>
      </c>
      <c r="AT85" s="37">
        <f>G85/(100-AU85)*100</f>
        <v>0</v>
      </c>
      <c r="AU85" s="37">
        <v>0</v>
      </c>
      <c r="AV85" s="37">
        <f>L85</f>
        <v>0.2063681</v>
      </c>
    </row>
    <row r="86" spans="4:6" ht="12.75">
      <c r="D86" s="15" t="s">
        <v>507</v>
      </c>
      <c r="F86" s="20">
        <v>2.33</v>
      </c>
    </row>
    <row r="87" spans="1:48" ht="12.75">
      <c r="A87" s="4" t="s">
        <v>37</v>
      </c>
      <c r="B87" s="4"/>
      <c r="C87" s="4" t="s">
        <v>244</v>
      </c>
      <c r="D87" s="4" t="s">
        <v>508</v>
      </c>
      <c r="E87" s="4" t="s">
        <v>841</v>
      </c>
      <c r="F87" s="19">
        <v>14.72</v>
      </c>
      <c r="G87" s="19">
        <v>0</v>
      </c>
      <c r="H87" s="19">
        <f>F87*AE87</f>
        <v>0</v>
      </c>
      <c r="I87" s="19">
        <f>J87-H87</f>
        <v>0</v>
      </c>
      <c r="J87" s="19">
        <f>F87*G87</f>
        <v>0</v>
      </c>
      <c r="K87" s="19">
        <v>0.00212</v>
      </c>
      <c r="L87" s="19">
        <f>F87*K87</f>
        <v>0.0312064</v>
      </c>
      <c r="M87" s="32" t="s">
        <v>863</v>
      </c>
      <c r="P87" s="37">
        <f>IF(AG87="5",J87,0)</f>
        <v>0</v>
      </c>
      <c r="R87" s="37">
        <f>IF(AG87="1",H87,0)</f>
        <v>0</v>
      </c>
      <c r="S87" s="37">
        <f>IF(AG87="1",I87,0)</f>
        <v>0</v>
      </c>
      <c r="T87" s="37">
        <f>IF(AG87="7",H87,0)</f>
        <v>0</v>
      </c>
      <c r="U87" s="37">
        <f>IF(AG87="7",I87,0)</f>
        <v>0</v>
      </c>
      <c r="V87" s="37">
        <f>IF(AG87="2",H87,0)</f>
        <v>0</v>
      </c>
      <c r="W87" s="37">
        <f>IF(AG87="2",I87,0)</f>
        <v>0</v>
      </c>
      <c r="X87" s="37">
        <f>IF(AG87="0",J87,0)</f>
        <v>0</v>
      </c>
      <c r="Y87" s="29"/>
      <c r="Z87" s="19">
        <f>IF(AD87=0,J87,0)</f>
        <v>0</v>
      </c>
      <c r="AA87" s="19">
        <f>IF(AD87=15,J87,0)</f>
        <v>0</v>
      </c>
      <c r="AB87" s="19">
        <f>IF(AD87=21,J87,0)</f>
        <v>0</v>
      </c>
      <c r="AD87" s="37">
        <v>21</v>
      </c>
      <c r="AE87" s="37">
        <f>G87*0.861210374639769</f>
        <v>0</v>
      </c>
      <c r="AF87" s="37">
        <f>G87*(1-0.861210374639769)</f>
        <v>0</v>
      </c>
      <c r="AG87" s="32" t="s">
        <v>7</v>
      </c>
      <c r="AM87" s="37">
        <f>F87*AE87</f>
        <v>0</v>
      </c>
      <c r="AN87" s="37">
        <f>F87*AF87</f>
        <v>0</v>
      </c>
      <c r="AO87" s="38" t="s">
        <v>882</v>
      </c>
      <c r="AP87" s="38" t="s">
        <v>915</v>
      </c>
      <c r="AQ87" s="29" t="s">
        <v>926</v>
      </c>
      <c r="AS87" s="37">
        <f>AM87+AN87</f>
        <v>0</v>
      </c>
      <c r="AT87" s="37">
        <f>G87/(100-AU87)*100</f>
        <v>0</v>
      </c>
      <c r="AU87" s="37">
        <v>0</v>
      </c>
      <c r="AV87" s="37">
        <f>L87</f>
        <v>0.0312064</v>
      </c>
    </row>
    <row r="88" ht="12.75">
      <c r="D88" s="16" t="s">
        <v>509</v>
      </c>
    </row>
    <row r="89" spans="4:6" ht="12.75">
      <c r="D89" s="15" t="s">
        <v>510</v>
      </c>
      <c r="F89" s="20">
        <v>14.72</v>
      </c>
    </row>
    <row r="90" spans="1:37" ht="12.75">
      <c r="A90" s="5"/>
      <c r="B90" s="13"/>
      <c r="C90" s="13" t="s">
        <v>47</v>
      </c>
      <c r="D90" s="13" t="s">
        <v>511</v>
      </c>
      <c r="E90" s="5" t="s">
        <v>6</v>
      </c>
      <c r="F90" s="5" t="s">
        <v>6</v>
      </c>
      <c r="G90" s="5" t="s">
        <v>6</v>
      </c>
      <c r="H90" s="40">
        <f>SUM(H91:H144)</f>
        <v>0</v>
      </c>
      <c r="I90" s="40">
        <f>SUM(I91:I144)</f>
        <v>0</v>
      </c>
      <c r="J90" s="40">
        <f>H90+I90</f>
        <v>0</v>
      </c>
      <c r="K90" s="29"/>
      <c r="L90" s="40">
        <f>SUM(L91:L144)</f>
        <v>10.1716944</v>
      </c>
      <c r="M90" s="29"/>
      <c r="Y90" s="29"/>
      <c r="AI90" s="40">
        <f>SUM(Z91:Z144)</f>
        <v>0</v>
      </c>
      <c r="AJ90" s="40">
        <f>SUM(AA91:AA144)</f>
        <v>0</v>
      </c>
      <c r="AK90" s="40">
        <f>SUM(AB91:AB144)</f>
        <v>0</v>
      </c>
    </row>
    <row r="91" spans="1:48" ht="12.75">
      <c r="A91" s="4" t="s">
        <v>38</v>
      </c>
      <c r="B91" s="4"/>
      <c r="C91" s="4" t="s">
        <v>245</v>
      </c>
      <c r="D91" s="4" t="s">
        <v>512</v>
      </c>
      <c r="E91" s="4" t="s">
        <v>838</v>
      </c>
      <c r="F91" s="19">
        <v>0.8</v>
      </c>
      <c r="G91" s="19">
        <v>0</v>
      </c>
      <c r="H91" s="19">
        <f>F91*AE91</f>
        <v>0</v>
      </c>
      <c r="I91" s="19">
        <f>J91-H91</f>
        <v>0</v>
      </c>
      <c r="J91" s="19">
        <f>F91*G91</f>
        <v>0</v>
      </c>
      <c r="K91" s="19">
        <v>2.52514</v>
      </c>
      <c r="L91" s="19">
        <f>F91*K91</f>
        <v>2.020112</v>
      </c>
      <c r="M91" s="32" t="s">
        <v>863</v>
      </c>
      <c r="P91" s="37">
        <f>IF(AG91="5",J91,0)</f>
        <v>0</v>
      </c>
      <c r="R91" s="37">
        <f>IF(AG91="1",H91,0)</f>
        <v>0</v>
      </c>
      <c r="S91" s="37">
        <f>IF(AG91="1",I91,0)</f>
        <v>0</v>
      </c>
      <c r="T91" s="37">
        <f>IF(AG91="7",H91,0)</f>
        <v>0</v>
      </c>
      <c r="U91" s="37">
        <f>IF(AG91="7",I91,0)</f>
        <v>0</v>
      </c>
      <c r="V91" s="37">
        <f>IF(AG91="2",H91,0)</f>
        <v>0</v>
      </c>
      <c r="W91" s="37">
        <f>IF(AG91="2",I91,0)</f>
        <v>0</v>
      </c>
      <c r="X91" s="37">
        <f>IF(AG91="0",J91,0)</f>
        <v>0</v>
      </c>
      <c r="Y91" s="29"/>
      <c r="Z91" s="19">
        <f>IF(AD91=0,J91,0)</f>
        <v>0</v>
      </c>
      <c r="AA91" s="19">
        <f>IF(AD91=15,J91,0)</f>
        <v>0</v>
      </c>
      <c r="AB91" s="19">
        <f>IF(AD91=21,J91,0)</f>
        <v>0</v>
      </c>
      <c r="AD91" s="37">
        <v>21</v>
      </c>
      <c r="AE91" s="37">
        <f>G91*0.836271186440678</f>
        <v>0</v>
      </c>
      <c r="AF91" s="37">
        <f>G91*(1-0.836271186440678)</f>
        <v>0</v>
      </c>
      <c r="AG91" s="32" t="s">
        <v>7</v>
      </c>
      <c r="AM91" s="37">
        <f>F91*AE91</f>
        <v>0</v>
      </c>
      <c r="AN91" s="37">
        <f>F91*AF91</f>
        <v>0</v>
      </c>
      <c r="AO91" s="38" t="s">
        <v>883</v>
      </c>
      <c r="AP91" s="38" t="s">
        <v>916</v>
      </c>
      <c r="AQ91" s="29" t="s">
        <v>926</v>
      </c>
      <c r="AS91" s="37">
        <f>AM91+AN91</f>
        <v>0</v>
      </c>
      <c r="AT91" s="37">
        <f>G91/(100-AU91)*100</f>
        <v>0</v>
      </c>
      <c r="AU91" s="37">
        <v>0</v>
      </c>
      <c r="AV91" s="37">
        <f>L91</f>
        <v>2.020112</v>
      </c>
    </row>
    <row r="92" spans="4:6" ht="12.75">
      <c r="D92" s="15" t="s">
        <v>513</v>
      </c>
      <c r="F92" s="20">
        <v>0.8</v>
      </c>
    </row>
    <row r="93" spans="1:48" ht="12.75">
      <c r="A93" s="4" t="s">
        <v>39</v>
      </c>
      <c r="B93" s="4"/>
      <c r="C93" s="4" t="s">
        <v>246</v>
      </c>
      <c r="D93" s="4" t="s">
        <v>514</v>
      </c>
      <c r="E93" s="4" t="s">
        <v>838</v>
      </c>
      <c r="F93" s="19">
        <v>1.56</v>
      </c>
      <c r="G93" s="19">
        <v>0</v>
      </c>
      <c r="H93" s="19">
        <f>F93*AE93</f>
        <v>0</v>
      </c>
      <c r="I93" s="19">
        <f>J93-H93</f>
        <v>0</v>
      </c>
      <c r="J93" s="19">
        <f>F93*G93</f>
        <v>0</v>
      </c>
      <c r="K93" s="19">
        <v>2.52514</v>
      </c>
      <c r="L93" s="19">
        <f>F93*K93</f>
        <v>3.9392184</v>
      </c>
      <c r="M93" s="32" t="s">
        <v>863</v>
      </c>
      <c r="P93" s="37">
        <f>IF(AG93="5",J93,0)</f>
        <v>0</v>
      </c>
      <c r="R93" s="37">
        <f>IF(AG93="1",H93,0)</f>
        <v>0</v>
      </c>
      <c r="S93" s="37">
        <f>IF(AG93="1",I93,0)</f>
        <v>0</v>
      </c>
      <c r="T93" s="37">
        <f>IF(AG93="7",H93,0)</f>
        <v>0</v>
      </c>
      <c r="U93" s="37">
        <f>IF(AG93="7",I93,0)</f>
        <v>0</v>
      </c>
      <c r="V93" s="37">
        <f>IF(AG93="2",H93,0)</f>
        <v>0</v>
      </c>
      <c r="W93" s="37">
        <f>IF(AG93="2",I93,0)</f>
        <v>0</v>
      </c>
      <c r="X93" s="37">
        <f>IF(AG93="0",J93,0)</f>
        <v>0</v>
      </c>
      <c r="Y93" s="29"/>
      <c r="Z93" s="19">
        <f>IF(AD93=0,J93,0)</f>
        <v>0</v>
      </c>
      <c r="AA93" s="19">
        <f>IF(AD93=15,J93,0)</f>
        <v>0</v>
      </c>
      <c r="AB93" s="19">
        <f>IF(AD93=21,J93,0)</f>
        <v>0</v>
      </c>
      <c r="AD93" s="37">
        <v>21</v>
      </c>
      <c r="AE93" s="37">
        <f>G93*0.856771004942339</f>
        <v>0</v>
      </c>
      <c r="AF93" s="37">
        <f>G93*(1-0.856771004942339)</f>
        <v>0</v>
      </c>
      <c r="AG93" s="32" t="s">
        <v>7</v>
      </c>
      <c r="AM93" s="37">
        <f>F93*AE93</f>
        <v>0</v>
      </c>
      <c r="AN93" s="37">
        <f>F93*AF93</f>
        <v>0</v>
      </c>
      <c r="AO93" s="38" t="s">
        <v>883</v>
      </c>
      <c r="AP93" s="38" t="s">
        <v>916</v>
      </c>
      <c r="AQ93" s="29" t="s">
        <v>926</v>
      </c>
      <c r="AS93" s="37">
        <f>AM93+AN93</f>
        <v>0</v>
      </c>
      <c r="AT93" s="37">
        <f>G93/(100-AU93)*100</f>
        <v>0</v>
      </c>
      <c r="AU93" s="37">
        <v>0</v>
      </c>
      <c r="AV93" s="37">
        <f>L93</f>
        <v>3.9392184</v>
      </c>
    </row>
    <row r="94" spans="4:6" ht="12.75">
      <c r="D94" s="15" t="s">
        <v>515</v>
      </c>
      <c r="F94" s="20">
        <v>1.56</v>
      </c>
    </row>
    <row r="95" spans="1:48" ht="12.75">
      <c r="A95" s="4" t="s">
        <v>40</v>
      </c>
      <c r="B95" s="4"/>
      <c r="C95" s="4" t="s">
        <v>247</v>
      </c>
      <c r="D95" s="4" t="s">
        <v>516</v>
      </c>
      <c r="E95" s="4" t="s">
        <v>841</v>
      </c>
      <c r="F95" s="19">
        <v>16.51</v>
      </c>
      <c r="G95" s="19">
        <v>0</v>
      </c>
      <c r="H95" s="19">
        <f>F95*AE95</f>
        <v>0</v>
      </c>
      <c r="I95" s="19">
        <f>J95-H95</f>
        <v>0</v>
      </c>
      <c r="J95" s="19">
        <f>F95*G95</f>
        <v>0</v>
      </c>
      <c r="K95" s="19">
        <v>0.03637</v>
      </c>
      <c r="L95" s="19">
        <f>F95*K95</f>
        <v>0.6004687000000001</v>
      </c>
      <c r="M95" s="32" t="s">
        <v>863</v>
      </c>
      <c r="P95" s="37">
        <f>IF(AG95="5",J95,0)</f>
        <v>0</v>
      </c>
      <c r="R95" s="37">
        <f>IF(AG95="1",H95,0)</f>
        <v>0</v>
      </c>
      <c r="S95" s="37">
        <f>IF(AG95="1",I95,0)</f>
        <v>0</v>
      </c>
      <c r="T95" s="37">
        <f>IF(AG95="7",H95,0)</f>
        <v>0</v>
      </c>
      <c r="U95" s="37">
        <f>IF(AG95="7",I95,0)</f>
        <v>0</v>
      </c>
      <c r="V95" s="37">
        <f>IF(AG95="2",H95,0)</f>
        <v>0</v>
      </c>
      <c r="W95" s="37">
        <f>IF(AG95="2",I95,0)</f>
        <v>0</v>
      </c>
      <c r="X95" s="37">
        <f>IF(AG95="0",J95,0)</f>
        <v>0</v>
      </c>
      <c r="Y95" s="29"/>
      <c r="Z95" s="19">
        <f>IF(AD95=0,J95,0)</f>
        <v>0</v>
      </c>
      <c r="AA95" s="19">
        <f>IF(AD95=15,J95,0)</f>
        <v>0</v>
      </c>
      <c r="AB95" s="19">
        <f>IF(AD95=21,J95,0)</f>
        <v>0</v>
      </c>
      <c r="AD95" s="37">
        <v>21</v>
      </c>
      <c r="AE95" s="37">
        <f>G95*0.535419734904271</f>
        <v>0</v>
      </c>
      <c r="AF95" s="37">
        <f>G95*(1-0.535419734904271)</f>
        <v>0</v>
      </c>
      <c r="AG95" s="32" t="s">
        <v>7</v>
      </c>
      <c r="AM95" s="37">
        <f>F95*AE95</f>
        <v>0</v>
      </c>
      <c r="AN95" s="37">
        <f>F95*AF95</f>
        <v>0</v>
      </c>
      <c r="AO95" s="38" t="s">
        <v>883</v>
      </c>
      <c r="AP95" s="38" t="s">
        <v>916</v>
      </c>
      <c r="AQ95" s="29" t="s">
        <v>926</v>
      </c>
      <c r="AS95" s="37">
        <f>AM95+AN95</f>
        <v>0</v>
      </c>
      <c r="AT95" s="37">
        <f>G95/(100-AU95)*100</f>
        <v>0</v>
      </c>
      <c r="AU95" s="37">
        <v>0</v>
      </c>
      <c r="AV95" s="37">
        <f>L95</f>
        <v>0.6004687000000001</v>
      </c>
    </row>
    <row r="96" ht="12.75">
      <c r="D96" s="16" t="s">
        <v>493</v>
      </c>
    </row>
    <row r="97" spans="4:6" ht="12.75">
      <c r="D97" s="15" t="s">
        <v>517</v>
      </c>
      <c r="F97" s="20">
        <v>3.62</v>
      </c>
    </row>
    <row r="98" spans="4:6" ht="12.75">
      <c r="D98" s="15" t="s">
        <v>518</v>
      </c>
      <c r="F98" s="20">
        <v>12.89</v>
      </c>
    </row>
    <row r="99" spans="1:48" ht="12.75">
      <c r="A99" s="4" t="s">
        <v>41</v>
      </c>
      <c r="B99" s="4"/>
      <c r="C99" s="4" t="s">
        <v>248</v>
      </c>
      <c r="D99" s="4" t="s">
        <v>519</v>
      </c>
      <c r="E99" s="4" t="s">
        <v>841</v>
      </c>
      <c r="F99" s="19">
        <v>16.51</v>
      </c>
      <c r="G99" s="19">
        <v>0</v>
      </c>
      <c r="H99" s="19">
        <f>F99*AE99</f>
        <v>0</v>
      </c>
      <c r="I99" s="19">
        <f>J99-H99</f>
        <v>0</v>
      </c>
      <c r="J99" s="19">
        <f>F99*G99</f>
        <v>0</v>
      </c>
      <c r="K99" s="19">
        <v>0</v>
      </c>
      <c r="L99" s="19">
        <f>F99*K99</f>
        <v>0</v>
      </c>
      <c r="M99" s="32" t="s">
        <v>863</v>
      </c>
      <c r="P99" s="37">
        <f>IF(AG99="5",J99,0)</f>
        <v>0</v>
      </c>
      <c r="R99" s="37">
        <f>IF(AG99="1",H99,0)</f>
        <v>0</v>
      </c>
      <c r="S99" s="37">
        <f>IF(AG99="1",I99,0)</f>
        <v>0</v>
      </c>
      <c r="T99" s="37">
        <f>IF(AG99="7",H99,0)</f>
        <v>0</v>
      </c>
      <c r="U99" s="37">
        <f>IF(AG99="7",I99,0)</f>
        <v>0</v>
      </c>
      <c r="V99" s="37">
        <f>IF(AG99="2",H99,0)</f>
        <v>0</v>
      </c>
      <c r="W99" s="37">
        <f>IF(AG99="2",I99,0)</f>
        <v>0</v>
      </c>
      <c r="X99" s="37">
        <f>IF(AG99="0",J99,0)</f>
        <v>0</v>
      </c>
      <c r="Y99" s="29"/>
      <c r="Z99" s="19">
        <f>IF(AD99=0,J99,0)</f>
        <v>0</v>
      </c>
      <c r="AA99" s="19">
        <f>IF(AD99=15,J99,0)</f>
        <v>0</v>
      </c>
      <c r="AB99" s="19">
        <f>IF(AD99=21,J99,0)</f>
        <v>0</v>
      </c>
      <c r="AD99" s="37">
        <v>21</v>
      </c>
      <c r="AE99" s="37">
        <f>G99*0</f>
        <v>0</v>
      </c>
      <c r="AF99" s="37">
        <f>G99*(1-0)</f>
        <v>0</v>
      </c>
      <c r="AG99" s="32" t="s">
        <v>7</v>
      </c>
      <c r="AM99" s="37">
        <f>F99*AE99</f>
        <v>0</v>
      </c>
      <c r="AN99" s="37">
        <f>F99*AF99</f>
        <v>0</v>
      </c>
      <c r="AO99" s="38" t="s">
        <v>883</v>
      </c>
      <c r="AP99" s="38" t="s">
        <v>916</v>
      </c>
      <c r="AQ99" s="29" t="s">
        <v>926</v>
      </c>
      <c r="AS99" s="37">
        <f>AM99+AN99</f>
        <v>0</v>
      </c>
      <c r="AT99" s="37">
        <f>G99/(100-AU99)*100</f>
        <v>0</v>
      </c>
      <c r="AU99" s="37">
        <v>0</v>
      </c>
      <c r="AV99" s="37">
        <f>L99</f>
        <v>0</v>
      </c>
    </row>
    <row r="100" spans="1:48" ht="12.75">
      <c r="A100" s="4" t="s">
        <v>42</v>
      </c>
      <c r="B100" s="4"/>
      <c r="C100" s="4" t="s">
        <v>249</v>
      </c>
      <c r="D100" s="4" t="s">
        <v>520</v>
      </c>
      <c r="E100" s="4" t="s">
        <v>841</v>
      </c>
      <c r="F100" s="19">
        <v>16.51</v>
      </c>
      <c r="G100" s="19">
        <v>0</v>
      </c>
      <c r="H100" s="19">
        <f>F100*AE100</f>
        <v>0</v>
      </c>
      <c r="I100" s="19">
        <f>J100-H100</f>
        <v>0</v>
      </c>
      <c r="J100" s="19">
        <f>F100*G100</f>
        <v>0</v>
      </c>
      <c r="K100" s="19">
        <v>0.03464</v>
      </c>
      <c r="L100" s="19">
        <f>F100*K100</f>
        <v>0.5719064</v>
      </c>
      <c r="M100" s="32" t="s">
        <v>863</v>
      </c>
      <c r="P100" s="37">
        <f>IF(AG100="5",J100,0)</f>
        <v>0</v>
      </c>
      <c r="R100" s="37">
        <f>IF(AG100="1",H100,0)</f>
        <v>0</v>
      </c>
      <c r="S100" s="37">
        <f>IF(AG100="1",I100,0)</f>
        <v>0</v>
      </c>
      <c r="T100" s="37">
        <f>IF(AG100="7",H100,0)</f>
        <v>0</v>
      </c>
      <c r="U100" s="37">
        <f>IF(AG100="7",I100,0)</f>
        <v>0</v>
      </c>
      <c r="V100" s="37">
        <f>IF(AG100="2",H100,0)</f>
        <v>0</v>
      </c>
      <c r="W100" s="37">
        <f>IF(AG100="2",I100,0)</f>
        <v>0</v>
      </c>
      <c r="X100" s="37">
        <f>IF(AG100="0",J100,0)</f>
        <v>0</v>
      </c>
      <c r="Y100" s="29"/>
      <c r="Z100" s="19">
        <f>IF(AD100=0,J100,0)</f>
        <v>0</v>
      </c>
      <c r="AA100" s="19">
        <f>IF(AD100=15,J100,0)</f>
        <v>0</v>
      </c>
      <c r="AB100" s="19">
        <f>IF(AD100=21,J100,0)</f>
        <v>0</v>
      </c>
      <c r="AD100" s="37">
        <v>21</v>
      </c>
      <c r="AE100" s="37">
        <f>G100*0.464399399399399</f>
        <v>0</v>
      </c>
      <c r="AF100" s="37">
        <f>G100*(1-0.464399399399399)</f>
        <v>0</v>
      </c>
      <c r="AG100" s="32" t="s">
        <v>7</v>
      </c>
      <c r="AM100" s="37">
        <f>F100*AE100</f>
        <v>0</v>
      </c>
      <c r="AN100" s="37">
        <f>F100*AF100</f>
        <v>0</v>
      </c>
      <c r="AO100" s="38" t="s">
        <v>883</v>
      </c>
      <c r="AP100" s="38" t="s">
        <v>916</v>
      </c>
      <c r="AQ100" s="29" t="s">
        <v>926</v>
      </c>
      <c r="AS100" s="37">
        <f>AM100+AN100</f>
        <v>0</v>
      </c>
      <c r="AT100" s="37">
        <f>G100/(100-AU100)*100</f>
        <v>0</v>
      </c>
      <c r="AU100" s="37">
        <v>0</v>
      </c>
      <c r="AV100" s="37">
        <f>L100</f>
        <v>0.5719064</v>
      </c>
    </row>
    <row r="101" spans="1:48" ht="12.75">
      <c r="A101" s="4" t="s">
        <v>43</v>
      </c>
      <c r="B101" s="4"/>
      <c r="C101" s="4" t="s">
        <v>250</v>
      </c>
      <c r="D101" s="4" t="s">
        <v>521</v>
      </c>
      <c r="E101" s="4" t="s">
        <v>841</v>
      </c>
      <c r="F101" s="19">
        <v>16.51</v>
      </c>
      <c r="G101" s="19">
        <v>0</v>
      </c>
      <c r="H101" s="19">
        <f>F101*AE101</f>
        <v>0</v>
      </c>
      <c r="I101" s="19">
        <f>J101-H101</f>
        <v>0</v>
      </c>
      <c r="J101" s="19">
        <f>F101*G101</f>
        <v>0</v>
      </c>
      <c r="K101" s="19">
        <v>0</v>
      </c>
      <c r="L101" s="19">
        <f>F101*K101</f>
        <v>0</v>
      </c>
      <c r="M101" s="32" t="s">
        <v>863</v>
      </c>
      <c r="P101" s="37">
        <f>IF(AG101="5",J101,0)</f>
        <v>0</v>
      </c>
      <c r="R101" s="37">
        <f>IF(AG101="1",H101,0)</f>
        <v>0</v>
      </c>
      <c r="S101" s="37">
        <f>IF(AG101="1",I101,0)</f>
        <v>0</v>
      </c>
      <c r="T101" s="37">
        <f>IF(AG101="7",H101,0)</f>
        <v>0</v>
      </c>
      <c r="U101" s="37">
        <f>IF(AG101="7",I101,0)</f>
        <v>0</v>
      </c>
      <c r="V101" s="37">
        <f>IF(AG101="2",H101,0)</f>
        <v>0</v>
      </c>
      <c r="W101" s="37">
        <f>IF(AG101="2",I101,0)</f>
        <v>0</v>
      </c>
      <c r="X101" s="37">
        <f>IF(AG101="0",J101,0)</f>
        <v>0</v>
      </c>
      <c r="Y101" s="29"/>
      <c r="Z101" s="19">
        <f>IF(AD101=0,J101,0)</f>
        <v>0</v>
      </c>
      <c r="AA101" s="19">
        <f>IF(AD101=15,J101,0)</f>
        <v>0</v>
      </c>
      <c r="AB101" s="19">
        <f>IF(AD101=21,J101,0)</f>
        <v>0</v>
      </c>
      <c r="AD101" s="37">
        <v>21</v>
      </c>
      <c r="AE101" s="37">
        <f>G101*0</f>
        <v>0</v>
      </c>
      <c r="AF101" s="37">
        <f>G101*(1-0)</f>
        <v>0</v>
      </c>
      <c r="AG101" s="32" t="s">
        <v>7</v>
      </c>
      <c r="AM101" s="37">
        <f>F101*AE101</f>
        <v>0</v>
      </c>
      <c r="AN101" s="37">
        <f>F101*AF101</f>
        <v>0</v>
      </c>
      <c r="AO101" s="38" t="s">
        <v>883</v>
      </c>
      <c r="AP101" s="38" t="s">
        <v>916</v>
      </c>
      <c r="AQ101" s="29" t="s">
        <v>926</v>
      </c>
      <c r="AS101" s="37">
        <f>AM101+AN101</f>
        <v>0</v>
      </c>
      <c r="AT101" s="37">
        <f>G101/(100-AU101)*100</f>
        <v>0</v>
      </c>
      <c r="AU101" s="37">
        <v>0</v>
      </c>
      <c r="AV101" s="37">
        <f>L101</f>
        <v>0</v>
      </c>
    </row>
    <row r="102" spans="1:48" ht="12.75">
      <c r="A102" s="4" t="s">
        <v>44</v>
      </c>
      <c r="B102" s="4"/>
      <c r="C102" s="4" t="s">
        <v>251</v>
      </c>
      <c r="D102" s="4" t="s">
        <v>522</v>
      </c>
      <c r="E102" s="4" t="s">
        <v>837</v>
      </c>
      <c r="F102" s="19">
        <v>20</v>
      </c>
      <c r="G102" s="19">
        <v>0</v>
      </c>
      <c r="H102" s="19">
        <f>F102*AE102</f>
        <v>0</v>
      </c>
      <c r="I102" s="19">
        <f>J102-H102</f>
        <v>0</v>
      </c>
      <c r="J102" s="19">
        <f>F102*G102</f>
        <v>0</v>
      </c>
      <c r="K102" s="19">
        <v>0.03047</v>
      </c>
      <c r="L102" s="19">
        <f>F102*K102</f>
        <v>0.6094</v>
      </c>
      <c r="M102" s="32" t="s">
        <v>863</v>
      </c>
      <c r="P102" s="37">
        <f>IF(AG102="5",J102,0)</f>
        <v>0</v>
      </c>
      <c r="R102" s="37">
        <f>IF(AG102="1",H102,0)</f>
        <v>0</v>
      </c>
      <c r="S102" s="37">
        <f>IF(AG102="1",I102,0)</f>
        <v>0</v>
      </c>
      <c r="T102" s="37">
        <f>IF(AG102="7",H102,0)</f>
        <v>0</v>
      </c>
      <c r="U102" s="37">
        <f>IF(AG102="7",I102,0)</f>
        <v>0</v>
      </c>
      <c r="V102" s="37">
        <f>IF(AG102="2",H102,0)</f>
        <v>0</v>
      </c>
      <c r="W102" s="37">
        <f>IF(AG102="2",I102,0)</f>
        <v>0</v>
      </c>
      <c r="X102" s="37">
        <f>IF(AG102="0",J102,0)</f>
        <v>0</v>
      </c>
      <c r="Y102" s="29"/>
      <c r="Z102" s="19">
        <f>IF(AD102=0,J102,0)</f>
        <v>0</v>
      </c>
      <c r="AA102" s="19">
        <f>IF(AD102=15,J102,0)</f>
        <v>0</v>
      </c>
      <c r="AB102" s="19">
        <f>IF(AD102=21,J102,0)</f>
        <v>0</v>
      </c>
      <c r="AD102" s="37">
        <v>21</v>
      </c>
      <c r="AE102" s="37">
        <f>G102*0.234629920890162</f>
        <v>0</v>
      </c>
      <c r="AF102" s="37">
        <f>G102*(1-0.234629920890162)</f>
        <v>0</v>
      </c>
      <c r="AG102" s="32" t="s">
        <v>7</v>
      </c>
      <c r="AM102" s="37">
        <f>F102*AE102</f>
        <v>0</v>
      </c>
      <c r="AN102" s="37">
        <f>F102*AF102</f>
        <v>0</v>
      </c>
      <c r="AO102" s="38" t="s">
        <v>883</v>
      </c>
      <c r="AP102" s="38" t="s">
        <v>916</v>
      </c>
      <c r="AQ102" s="29" t="s">
        <v>926</v>
      </c>
      <c r="AS102" s="37">
        <f>AM102+AN102</f>
        <v>0</v>
      </c>
      <c r="AT102" s="37">
        <f>G102/(100-AU102)*100</f>
        <v>0</v>
      </c>
      <c r="AU102" s="37">
        <v>0</v>
      </c>
      <c r="AV102" s="37">
        <f>L102</f>
        <v>0.6094</v>
      </c>
    </row>
    <row r="103" spans="4:6" ht="12.75">
      <c r="D103" s="15" t="s">
        <v>523</v>
      </c>
      <c r="F103" s="20">
        <v>10.78</v>
      </c>
    </row>
    <row r="104" spans="4:6" ht="12.75">
      <c r="D104" s="15" t="s">
        <v>524</v>
      </c>
      <c r="F104" s="20">
        <v>9.22</v>
      </c>
    </row>
    <row r="105" spans="1:48" ht="12.75">
      <c r="A105" s="4" t="s">
        <v>45</v>
      </c>
      <c r="B105" s="4"/>
      <c r="C105" s="4" t="s">
        <v>252</v>
      </c>
      <c r="D105" s="4" t="s">
        <v>525</v>
      </c>
      <c r="E105" s="4" t="s">
        <v>837</v>
      </c>
      <c r="F105" s="19">
        <v>20</v>
      </c>
      <c r="G105" s="19">
        <v>0</v>
      </c>
      <c r="H105" s="19">
        <f>F105*AE105</f>
        <v>0</v>
      </c>
      <c r="I105" s="19">
        <f>J105-H105</f>
        <v>0</v>
      </c>
      <c r="J105" s="19">
        <f>F105*G105</f>
        <v>0</v>
      </c>
      <c r="K105" s="19">
        <v>0</v>
      </c>
      <c r="L105" s="19">
        <f>F105*K105</f>
        <v>0</v>
      </c>
      <c r="M105" s="32" t="s">
        <v>863</v>
      </c>
      <c r="P105" s="37">
        <f>IF(AG105="5",J105,0)</f>
        <v>0</v>
      </c>
      <c r="R105" s="37">
        <f>IF(AG105="1",H105,0)</f>
        <v>0</v>
      </c>
      <c r="S105" s="37">
        <f>IF(AG105="1",I105,0)</f>
        <v>0</v>
      </c>
      <c r="T105" s="37">
        <f>IF(AG105="7",H105,0)</f>
        <v>0</v>
      </c>
      <c r="U105" s="37">
        <f>IF(AG105="7",I105,0)</f>
        <v>0</v>
      </c>
      <c r="V105" s="37">
        <f>IF(AG105="2",H105,0)</f>
        <v>0</v>
      </c>
      <c r="W105" s="37">
        <f>IF(AG105="2",I105,0)</f>
        <v>0</v>
      </c>
      <c r="X105" s="37">
        <f>IF(AG105="0",J105,0)</f>
        <v>0</v>
      </c>
      <c r="Y105" s="29"/>
      <c r="Z105" s="19">
        <f>IF(AD105=0,J105,0)</f>
        <v>0</v>
      </c>
      <c r="AA105" s="19">
        <f>IF(AD105=15,J105,0)</f>
        <v>0</v>
      </c>
      <c r="AB105" s="19">
        <f>IF(AD105=21,J105,0)</f>
        <v>0</v>
      </c>
      <c r="AD105" s="37">
        <v>21</v>
      </c>
      <c r="AE105" s="37">
        <f>G105*0</f>
        <v>0</v>
      </c>
      <c r="AF105" s="37">
        <f>G105*(1-0)</f>
        <v>0</v>
      </c>
      <c r="AG105" s="32" t="s">
        <v>7</v>
      </c>
      <c r="AM105" s="37">
        <f>F105*AE105</f>
        <v>0</v>
      </c>
      <c r="AN105" s="37">
        <f>F105*AF105</f>
        <v>0</v>
      </c>
      <c r="AO105" s="38" t="s">
        <v>883</v>
      </c>
      <c r="AP105" s="38" t="s">
        <v>916</v>
      </c>
      <c r="AQ105" s="29" t="s">
        <v>926</v>
      </c>
      <c r="AS105" s="37">
        <f>AM105+AN105</f>
        <v>0</v>
      </c>
      <c r="AT105" s="37">
        <f>G105/(100-AU105)*100</f>
        <v>0</v>
      </c>
      <c r="AU105" s="37">
        <v>0</v>
      </c>
      <c r="AV105" s="37">
        <f>L105</f>
        <v>0</v>
      </c>
    </row>
    <row r="106" spans="1:48" ht="12.75">
      <c r="A106" s="4" t="s">
        <v>46</v>
      </c>
      <c r="B106" s="4"/>
      <c r="C106" s="4" t="s">
        <v>253</v>
      </c>
      <c r="D106" s="4" t="s">
        <v>526</v>
      </c>
      <c r="E106" s="4" t="s">
        <v>840</v>
      </c>
      <c r="F106" s="19">
        <v>0.18</v>
      </c>
      <c r="G106" s="19">
        <v>0</v>
      </c>
      <c r="H106" s="19">
        <f>F106*AE106</f>
        <v>0</v>
      </c>
      <c r="I106" s="19">
        <f>J106-H106</f>
        <v>0</v>
      </c>
      <c r="J106" s="19">
        <f>F106*G106</f>
        <v>0</v>
      </c>
      <c r="K106" s="19">
        <v>1.05544</v>
      </c>
      <c r="L106" s="19">
        <f>F106*K106</f>
        <v>0.1899792</v>
      </c>
      <c r="M106" s="32" t="s">
        <v>863</v>
      </c>
      <c r="P106" s="37">
        <f>IF(AG106="5",J106,0)</f>
        <v>0</v>
      </c>
      <c r="R106" s="37">
        <f>IF(AG106="1",H106,0)</f>
        <v>0</v>
      </c>
      <c r="S106" s="37">
        <f>IF(AG106="1",I106,0)</f>
        <v>0</v>
      </c>
      <c r="T106" s="37">
        <f>IF(AG106="7",H106,0)</f>
        <v>0</v>
      </c>
      <c r="U106" s="37">
        <f>IF(AG106="7",I106,0)</f>
        <v>0</v>
      </c>
      <c r="V106" s="37">
        <f>IF(AG106="2",H106,0)</f>
        <v>0</v>
      </c>
      <c r="W106" s="37">
        <f>IF(AG106="2",I106,0)</f>
        <v>0</v>
      </c>
      <c r="X106" s="37">
        <f>IF(AG106="0",J106,0)</f>
        <v>0</v>
      </c>
      <c r="Y106" s="29"/>
      <c r="Z106" s="19">
        <f>IF(AD106=0,J106,0)</f>
        <v>0</v>
      </c>
      <c r="AA106" s="19">
        <f>IF(AD106=15,J106,0)</f>
        <v>0</v>
      </c>
      <c r="AB106" s="19">
        <f>IF(AD106=21,J106,0)</f>
        <v>0</v>
      </c>
      <c r="AD106" s="37">
        <v>21</v>
      </c>
      <c r="AE106" s="37">
        <f>G106*0.824736078886311</f>
        <v>0</v>
      </c>
      <c r="AF106" s="37">
        <f>G106*(1-0.824736078886311)</f>
        <v>0</v>
      </c>
      <c r="AG106" s="32" t="s">
        <v>7</v>
      </c>
      <c r="AM106" s="37">
        <f>F106*AE106</f>
        <v>0</v>
      </c>
      <c r="AN106" s="37">
        <f>F106*AF106</f>
        <v>0</v>
      </c>
      <c r="AO106" s="38" t="s">
        <v>883</v>
      </c>
      <c r="AP106" s="38" t="s">
        <v>916</v>
      </c>
      <c r="AQ106" s="29" t="s">
        <v>926</v>
      </c>
      <c r="AS106" s="37">
        <f>AM106+AN106</f>
        <v>0</v>
      </c>
      <c r="AT106" s="37">
        <f>G106/(100-AU106)*100</f>
        <v>0</v>
      </c>
      <c r="AU106" s="37">
        <v>0</v>
      </c>
      <c r="AV106" s="37">
        <f>L106</f>
        <v>0.1899792</v>
      </c>
    </row>
    <row r="107" ht="12.75">
      <c r="D107" s="16" t="s">
        <v>527</v>
      </c>
    </row>
    <row r="108" spans="4:6" ht="12.75">
      <c r="D108" s="15" t="s">
        <v>528</v>
      </c>
      <c r="F108" s="20">
        <v>0.18</v>
      </c>
    </row>
    <row r="109" spans="1:48" ht="12.75">
      <c r="A109" s="4" t="s">
        <v>47</v>
      </c>
      <c r="B109" s="4"/>
      <c r="C109" s="4" t="s">
        <v>254</v>
      </c>
      <c r="D109" s="4" t="s">
        <v>529</v>
      </c>
      <c r="E109" s="4" t="s">
        <v>840</v>
      </c>
      <c r="F109" s="19">
        <v>0.11</v>
      </c>
      <c r="G109" s="19">
        <v>0</v>
      </c>
      <c r="H109" s="19">
        <f>F109*AE109</f>
        <v>0</v>
      </c>
      <c r="I109" s="19">
        <f>J109-H109</f>
        <v>0</v>
      </c>
      <c r="J109" s="19">
        <f>F109*G109</f>
        <v>0</v>
      </c>
      <c r="K109" s="19">
        <v>1.01835</v>
      </c>
      <c r="L109" s="19">
        <f>F109*K109</f>
        <v>0.11201850000000001</v>
      </c>
      <c r="M109" s="32" t="s">
        <v>863</v>
      </c>
      <c r="P109" s="37">
        <f>IF(AG109="5",J109,0)</f>
        <v>0</v>
      </c>
      <c r="R109" s="37">
        <f>IF(AG109="1",H109,0)</f>
        <v>0</v>
      </c>
      <c r="S109" s="37">
        <f>IF(AG109="1",I109,0)</f>
        <v>0</v>
      </c>
      <c r="T109" s="37">
        <f>IF(AG109="7",H109,0)</f>
        <v>0</v>
      </c>
      <c r="U109" s="37">
        <f>IF(AG109="7",I109,0)</f>
        <v>0</v>
      </c>
      <c r="V109" s="37">
        <f>IF(AG109="2",H109,0)</f>
        <v>0</v>
      </c>
      <c r="W109" s="37">
        <f>IF(AG109="2",I109,0)</f>
        <v>0</v>
      </c>
      <c r="X109" s="37">
        <f>IF(AG109="0",J109,0)</f>
        <v>0</v>
      </c>
      <c r="Y109" s="29"/>
      <c r="Z109" s="19">
        <f>IF(AD109=0,J109,0)</f>
        <v>0</v>
      </c>
      <c r="AA109" s="19">
        <f>IF(AD109=15,J109,0)</f>
        <v>0</v>
      </c>
      <c r="AB109" s="19">
        <f>IF(AD109=21,J109,0)</f>
        <v>0</v>
      </c>
      <c r="AD109" s="37">
        <v>21</v>
      </c>
      <c r="AE109" s="37">
        <f>G109*0.620389405204461</f>
        <v>0</v>
      </c>
      <c r="AF109" s="37">
        <f>G109*(1-0.620389405204461)</f>
        <v>0</v>
      </c>
      <c r="AG109" s="32" t="s">
        <v>7</v>
      </c>
      <c r="AM109" s="37">
        <f>F109*AE109</f>
        <v>0</v>
      </c>
      <c r="AN109" s="37">
        <f>F109*AF109</f>
        <v>0</v>
      </c>
      <c r="AO109" s="38" t="s">
        <v>883</v>
      </c>
      <c r="AP109" s="38" t="s">
        <v>916</v>
      </c>
      <c r="AQ109" s="29" t="s">
        <v>926</v>
      </c>
      <c r="AS109" s="37">
        <f>AM109+AN109</f>
        <v>0</v>
      </c>
      <c r="AT109" s="37">
        <f>G109/(100-AU109)*100</f>
        <v>0</v>
      </c>
      <c r="AU109" s="37">
        <v>0</v>
      </c>
      <c r="AV109" s="37">
        <f>L109</f>
        <v>0.11201850000000001</v>
      </c>
    </row>
    <row r="110" spans="4:6" ht="12.75">
      <c r="D110" s="15" t="s">
        <v>530</v>
      </c>
      <c r="F110" s="20">
        <v>0.11</v>
      </c>
    </row>
    <row r="111" spans="1:48" ht="12.75">
      <c r="A111" s="4" t="s">
        <v>48</v>
      </c>
      <c r="B111" s="4"/>
      <c r="C111" s="4" t="s">
        <v>255</v>
      </c>
      <c r="D111" s="4" t="s">
        <v>531</v>
      </c>
      <c r="E111" s="4" t="s">
        <v>838</v>
      </c>
      <c r="F111" s="19">
        <v>0.42</v>
      </c>
      <c r="G111" s="19">
        <v>0</v>
      </c>
      <c r="H111" s="19">
        <f>F111*AE111</f>
        <v>0</v>
      </c>
      <c r="I111" s="19">
        <f>J111-H111</f>
        <v>0</v>
      </c>
      <c r="J111" s="19">
        <f>F111*G111</f>
        <v>0</v>
      </c>
      <c r="K111" s="19">
        <v>2.52507</v>
      </c>
      <c r="L111" s="19">
        <f>F111*K111</f>
        <v>1.0605293999999998</v>
      </c>
      <c r="M111" s="32" t="s">
        <v>863</v>
      </c>
      <c r="P111" s="37">
        <f>IF(AG111="5",J111,0)</f>
        <v>0</v>
      </c>
      <c r="R111" s="37">
        <f>IF(AG111="1",H111,0)</f>
        <v>0</v>
      </c>
      <c r="S111" s="37">
        <f>IF(AG111="1",I111,0)</f>
        <v>0</v>
      </c>
      <c r="T111" s="37">
        <f>IF(AG111="7",H111,0)</f>
        <v>0</v>
      </c>
      <c r="U111" s="37">
        <f>IF(AG111="7",I111,0)</f>
        <v>0</v>
      </c>
      <c r="V111" s="37">
        <f>IF(AG111="2",H111,0)</f>
        <v>0</v>
      </c>
      <c r="W111" s="37">
        <f>IF(AG111="2",I111,0)</f>
        <v>0</v>
      </c>
      <c r="X111" s="37">
        <f>IF(AG111="0",J111,0)</f>
        <v>0</v>
      </c>
      <c r="Y111" s="29"/>
      <c r="Z111" s="19">
        <f>IF(AD111=0,J111,0)</f>
        <v>0</v>
      </c>
      <c r="AA111" s="19">
        <f>IF(AD111=15,J111,0)</f>
        <v>0</v>
      </c>
      <c r="AB111" s="19">
        <f>IF(AD111=21,J111,0)</f>
        <v>0</v>
      </c>
      <c r="AD111" s="37">
        <v>21</v>
      </c>
      <c r="AE111" s="37">
        <f>G111*0.862750830564784</f>
        <v>0</v>
      </c>
      <c r="AF111" s="37">
        <f>G111*(1-0.862750830564784)</f>
        <v>0</v>
      </c>
      <c r="AG111" s="32" t="s">
        <v>7</v>
      </c>
      <c r="AM111" s="37">
        <f>F111*AE111</f>
        <v>0</v>
      </c>
      <c r="AN111" s="37">
        <f>F111*AF111</f>
        <v>0</v>
      </c>
      <c r="AO111" s="38" t="s">
        <v>883</v>
      </c>
      <c r="AP111" s="38" t="s">
        <v>916</v>
      </c>
      <c r="AQ111" s="29" t="s">
        <v>926</v>
      </c>
      <c r="AS111" s="37">
        <f>AM111+AN111</f>
        <v>0</v>
      </c>
      <c r="AT111" s="37">
        <f>G111/(100-AU111)*100</f>
        <v>0</v>
      </c>
      <c r="AU111" s="37">
        <v>0</v>
      </c>
      <c r="AV111" s="37">
        <f>L111</f>
        <v>1.0605293999999998</v>
      </c>
    </row>
    <row r="112" spans="4:6" ht="12.75">
      <c r="D112" s="15" t="s">
        <v>532</v>
      </c>
      <c r="F112" s="20">
        <v>0.42</v>
      </c>
    </row>
    <row r="113" spans="1:48" ht="12.75">
      <c r="A113" s="4" t="s">
        <v>49</v>
      </c>
      <c r="B113" s="4"/>
      <c r="C113" s="4" t="s">
        <v>256</v>
      </c>
      <c r="D113" s="4" t="s">
        <v>533</v>
      </c>
      <c r="E113" s="4" t="s">
        <v>841</v>
      </c>
      <c r="F113" s="19">
        <v>4.48</v>
      </c>
      <c r="G113" s="19">
        <v>0</v>
      </c>
      <c r="H113" s="19">
        <f>F113*AE113</f>
        <v>0</v>
      </c>
      <c r="I113" s="19">
        <f>J113-H113</f>
        <v>0</v>
      </c>
      <c r="J113" s="19">
        <f>F113*G113</f>
        <v>0</v>
      </c>
      <c r="K113" s="19">
        <v>0.0577</v>
      </c>
      <c r="L113" s="19">
        <f>F113*K113</f>
        <v>0.258496</v>
      </c>
      <c r="M113" s="32" t="s">
        <v>863</v>
      </c>
      <c r="P113" s="37">
        <f>IF(AG113="5",J113,0)</f>
        <v>0</v>
      </c>
      <c r="R113" s="37">
        <f>IF(AG113="1",H113,0)</f>
        <v>0</v>
      </c>
      <c r="S113" s="37">
        <f>IF(AG113="1",I113,0)</f>
        <v>0</v>
      </c>
      <c r="T113" s="37">
        <f>IF(AG113="7",H113,0)</f>
        <v>0</v>
      </c>
      <c r="U113" s="37">
        <f>IF(AG113="7",I113,0)</f>
        <v>0</v>
      </c>
      <c r="V113" s="37">
        <f>IF(AG113="2",H113,0)</f>
        <v>0</v>
      </c>
      <c r="W113" s="37">
        <f>IF(AG113="2",I113,0)</f>
        <v>0</v>
      </c>
      <c r="X113" s="37">
        <f>IF(AG113="0",J113,0)</f>
        <v>0</v>
      </c>
      <c r="Y113" s="29"/>
      <c r="Z113" s="19">
        <f>IF(AD113=0,J113,0)</f>
        <v>0</v>
      </c>
      <c r="AA113" s="19">
        <f>IF(AD113=15,J113,0)</f>
        <v>0</v>
      </c>
      <c r="AB113" s="19">
        <f>IF(AD113=21,J113,0)</f>
        <v>0</v>
      </c>
      <c r="AD113" s="37">
        <v>21</v>
      </c>
      <c r="AE113" s="37">
        <f>G113*0.250197841726619</f>
        <v>0</v>
      </c>
      <c r="AF113" s="37">
        <f>G113*(1-0.250197841726619)</f>
        <v>0</v>
      </c>
      <c r="AG113" s="32" t="s">
        <v>7</v>
      </c>
      <c r="AM113" s="37">
        <f>F113*AE113</f>
        <v>0</v>
      </c>
      <c r="AN113" s="37">
        <f>F113*AF113</f>
        <v>0</v>
      </c>
      <c r="AO113" s="38" t="s">
        <v>883</v>
      </c>
      <c r="AP113" s="38" t="s">
        <v>916</v>
      </c>
      <c r="AQ113" s="29" t="s">
        <v>926</v>
      </c>
      <c r="AS113" s="37">
        <f>AM113+AN113</f>
        <v>0</v>
      </c>
      <c r="AT113" s="37">
        <f>G113/(100-AU113)*100</f>
        <v>0</v>
      </c>
      <c r="AU113" s="37">
        <v>0</v>
      </c>
      <c r="AV113" s="37">
        <f>L113</f>
        <v>0.258496</v>
      </c>
    </row>
    <row r="114" spans="4:6" ht="12.75">
      <c r="D114" s="15" t="s">
        <v>534</v>
      </c>
      <c r="F114" s="20">
        <v>1.79</v>
      </c>
    </row>
    <row r="115" spans="4:6" ht="12.75">
      <c r="D115" s="15" t="s">
        <v>535</v>
      </c>
      <c r="F115" s="20">
        <v>2.69</v>
      </c>
    </row>
    <row r="116" spans="1:48" ht="12.75">
      <c r="A116" s="4" t="s">
        <v>50</v>
      </c>
      <c r="B116" s="4"/>
      <c r="C116" s="4" t="s">
        <v>257</v>
      </c>
      <c r="D116" s="4" t="s">
        <v>536</v>
      </c>
      <c r="E116" s="4" t="s">
        <v>841</v>
      </c>
      <c r="F116" s="19">
        <v>4.48</v>
      </c>
      <c r="G116" s="19">
        <v>0</v>
      </c>
      <c r="H116" s="19">
        <f>F116*AE116</f>
        <v>0</v>
      </c>
      <c r="I116" s="19">
        <f>J116-H116</f>
        <v>0</v>
      </c>
      <c r="J116" s="19">
        <f>F116*G116</f>
        <v>0</v>
      </c>
      <c r="K116" s="19">
        <v>0</v>
      </c>
      <c r="L116" s="19">
        <f>F116*K116</f>
        <v>0</v>
      </c>
      <c r="M116" s="32" t="s">
        <v>863</v>
      </c>
      <c r="P116" s="37">
        <f>IF(AG116="5",J116,0)</f>
        <v>0</v>
      </c>
      <c r="R116" s="37">
        <f>IF(AG116="1",H116,0)</f>
        <v>0</v>
      </c>
      <c r="S116" s="37">
        <f>IF(AG116="1",I116,0)</f>
        <v>0</v>
      </c>
      <c r="T116" s="37">
        <f>IF(AG116="7",H116,0)</f>
        <v>0</v>
      </c>
      <c r="U116" s="37">
        <f>IF(AG116="7",I116,0)</f>
        <v>0</v>
      </c>
      <c r="V116" s="37">
        <f>IF(AG116="2",H116,0)</f>
        <v>0</v>
      </c>
      <c r="W116" s="37">
        <f>IF(AG116="2",I116,0)</f>
        <v>0</v>
      </c>
      <c r="X116" s="37">
        <f>IF(AG116="0",J116,0)</f>
        <v>0</v>
      </c>
      <c r="Y116" s="29"/>
      <c r="Z116" s="19">
        <f>IF(AD116=0,J116,0)</f>
        <v>0</v>
      </c>
      <c r="AA116" s="19">
        <f>IF(AD116=15,J116,0)</f>
        <v>0</v>
      </c>
      <c r="AB116" s="19">
        <f>IF(AD116=21,J116,0)</f>
        <v>0</v>
      </c>
      <c r="AD116" s="37">
        <v>21</v>
      </c>
      <c r="AE116" s="37">
        <f>G116*0</f>
        <v>0</v>
      </c>
      <c r="AF116" s="37">
        <f>G116*(1-0)</f>
        <v>0</v>
      </c>
      <c r="AG116" s="32" t="s">
        <v>7</v>
      </c>
      <c r="AM116" s="37">
        <f>F116*AE116</f>
        <v>0</v>
      </c>
      <c r="AN116" s="37">
        <f>F116*AF116</f>
        <v>0</v>
      </c>
      <c r="AO116" s="38" t="s">
        <v>883</v>
      </c>
      <c r="AP116" s="38" t="s">
        <v>916</v>
      </c>
      <c r="AQ116" s="29" t="s">
        <v>926</v>
      </c>
      <c r="AS116" s="37">
        <f>AM116+AN116</f>
        <v>0</v>
      </c>
      <c r="AT116" s="37">
        <f>G116/(100-AU116)*100</f>
        <v>0</v>
      </c>
      <c r="AU116" s="37">
        <v>0</v>
      </c>
      <c r="AV116" s="37">
        <f>L116</f>
        <v>0</v>
      </c>
    </row>
    <row r="117" spans="1:48" ht="12.75">
      <c r="A117" s="4" t="s">
        <v>51</v>
      </c>
      <c r="B117" s="4"/>
      <c r="C117" s="4" t="s">
        <v>258</v>
      </c>
      <c r="D117" s="4" t="s">
        <v>537</v>
      </c>
      <c r="E117" s="4" t="s">
        <v>841</v>
      </c>
      <c r="F117" s="19">
        <v>1.79</v>
      </c>
      <c r="G117" s="19">
        <v>0</v>
      </c>
      <c r="H117" s="19">
        <f>F117*AE117</f>
        <v>0</v>
      </c>
      <c r="I117" s="19">
        <f>J117-H117</f>
        <v>0</v>
      </c>
      <c r="J117" s="19">
        <f>F117*G117</f>
        <v>0</v>
      </c>
      <c r="K117" s="19">
        <v>0.00535</v>
      </c>
      <c r="L117" s="19">
        <f>F117*K117</f>
        <v>0.0095765</v>
      </c>
      <c r="M117" s="32" t="s">
        <v>863</v>
      </c>
      <c r="P117" s="37">
        <f>IF(AG117="5",J117,0)</f>
        <v>0</v>
      </c>
      <c r="R117" s="37">
        <f>IF(AG117="1",H117,0)</f>
        <v>0</v>
      </c>
      <c r="S117" s="37">
        <f>IF(AG117="1",I117,0)</f>
        <v>0</v>
      </c>
      <c r="T117" s="37">
        <f>IF(AG117="7",H117,0)</f>
        <v>0</v>
      </c>
      <c r="U117" s="37">
        <f>IF(AG117="7",I117,0)</f>
        <v>0</v>
      </c>
      <c r="V117" s="37">
        <f>IF(AG117="2",H117,0)</f>
        <v>0</v>
      </c>
      <c r="W117" s="37">
        <f>IF(AG117="2",I117,0)</f>
        <v>0</v>
      </c>
      <c r="X117" s="37">
        <f>IF(AG117="0",J117,0)</f>
        <v>0</v>
      </c>
      <c r="Y117" s="29"/>
      <c r="Z117" s="19">
        <f>IF(AD117=0,J117,0)</f>
        <v>0</v>
      </c>
      <c r="AA117" s="19">
        <f>IF(AD117=15,J117,0)</f>
        <v>0</v>
      </c>
      <c r="AB117" s="19">
        <f>IF(AD117=21,J117,0)</f>
        <v>0</v>
      </c>
      <c r="AD117" s="37">
        <v>21</v>
      </c>
      <c r="AE117" s="37">
        <f>G117*0.113136194563662</f>
        <v>0</v>
      </c>
      <c r="AF117" s="37">
        <f>G117*(1-0.113136194563662)</f>
        <v>0</v>
      </c>
      <c r="AG117" s="32" t="s">
        <v>7</v>
      </c>
      <c r="AM117" s="37">
        <f>F117*AE117</f>
        <v>0</v>
      </c>
      <c r="AN117" s="37">
        <f>F117*AF117</f>
        <v>0</v>
      </c>
      <c r="AO117" s="38" t="s">
        <v>883</v>
      </c>
      <c r="AP117" s="38" t="s">
        <v>916</v>
      </c>
      <c r="AQ117" s="29" t="s">
        <v>926</v>
      </c>
      <c r="AS117" s="37">
        <f>AM117+AN117</f>
        <v>0</v>
      </c>
      <c r="AT117" s="37">
        <f>G117/(100-AU117)*100</f>
        <v>0</v>
      </c>
      <c r="AU117" s="37">
        <v>0</v>
      </c>
      <c r="AV117" s="37">
        <f>L117</f>
        <v>0.0095765</v>
      </c>
    </row>
    <row r="118" spans="4:6" ht="12.75">
      <c r="D118" s="15" t="s">
        <v>538</v>
      </c>
      <c r="F118" s="20">
        <v>1.79</v>
      </c>
    </row>
    <row r="119" spans="1:48" ht="12.75">
      <c r="A119" s="4" t="s">
        <v>52</v>
      </c>
      <c r="B119" s="4"/>
      <c r="C119" s="4" t="s">
        <v>259</v>
      </c>
      <c r="D119" s="4" t="s">
        <v>539</v>
      </c>
      <c r="E119" s="4" t="s">
        <v>841</v>
      </c>
      <c r="F119" s="19">
        <v>1.79</v>
      </c>
      <c r="G119" s="19">
        <v>0</v>
      </c>
      <c r="H119" s="19">
        <f>F119*AE119</f>
        <v>0</v>
      </c>
      <c r="I119" s="19">
        <f>J119-H119</f>
        <v>0</v>
      </c>
      <c r="J119" s="19">
        <f>F119*G119</f>
        <v>0</v>
      </c>
      <c r="K119" s="19">
        <v>0</v>
      </c>
      <c r="L119" s="19">
        <f>F119*K119</f>
        <v>0</v>
      </c>
      <c r="M119" s="32" t="s">
        <v>863</v>
      </c>
      <c r="P119" s="37">
        <f>IF(AG119="5",J119,0)</f>
        <v>0</v>
      </c>
      <c r="R119" s="37">
        <f>IF(AG119="1",H119,0)</f>
        <v>0</v>
      </c>
      <c r="S119" s="37">
        <f>IF(AG119="1",I119,0)</f>
        <v>0</v>
      </c>
      <c r="T119" s="37">
        <f>IF(AG119="7",H119,0)</f>
        <v>0</v>
      </c>
      <c r="U119" s="37">
        <f>IF(AG119="7",I119,0)</f>
        <v>0</v>
      </c>
      <c r="V119" s="37">
        <f>IF(AG119="2",H119,0)</f>
        <v>0</v>
      </c>
      <c r="W119" s="37">
        <f>IF(AG119="2",I119,0)</f>
        <v>0</v>
      </c>
      <c r="X119" s="37">
        <f>IF(AG119="0",J119,0)</f>
        <v>0</v>
      </c>
      <c r="Y119" s="29"/>
      <c r="Z119" s="19">
        <f>IF(AD119=0,J119,0)</f>
        <v>0</v>
      </c>
      <c r="AA119" s="19">
        <f>IF(AD119=15,J119,0)</f>
        <v>0</v>
      </c>
      <c r="AB119" s="19">
        <f>IF(AD119=21,J119,0)</f>
        <v>0</v>
      </c>
      <c r="AD119" s="37">
        <v>21</v>
      </c>
      <c r="AE119" s="37">
        <f>G119*0</f>
        <v>0</v>
      </c>
      <c r="AF119" s="37">
        <f>G119*(1-0)</f>
        <v>0</v>
      </c>
      <c r="AG119" s="32" t="s">
        <v>7</v>
      </c>
      <c r="AM119" s="37">
        <f>F119*AE119</f>
        <v>0</v>
      </c>
      <c r="AN119" s="37">
        <f>F119*AF119</f>
        <v>0</v>
      </c>
      <c r="AO119" s="38" t="s">
        <v>883</v>
      </c>
      <c r="AP119" s="38" t="s">
        <v>916</v>
      </c>
      <c r="AQ119" s="29" t="s">
        <v>926</v>
      </c>
      <c r="AS119" s="37">
        <f>AM119+AN119</f>
        <v>0</v>
      </c>
      <c r="AT119" s="37">
        <f>G119/(100-AU119)*100</f>
        <v>0</v>
      </c>
      <c r="AU119" s="37">
        <v>0</v>
      </c>
      <c r="AV119" s="37">
        <f>L119</f>
        <v>0</v>
      </c>
    </row>
    <row r="120" spans="1:48" ht="12.75">
      <c r="A120" s="4" t="s">
        <v>53</v>
      </c>
      <c r="B120" s="4"/>
      <c r="C120" s="4" t="s">
        <v>260</v>
      </c>
      <c r="D120" s="4" t="s">
        <v>540</v>
      </c>
      <c r="E120" s="4" t="s">
        <v>840</v>
      </c>
      <c r="F120" s="19">
        <v>0.07</v>
      </c>
      <c r="G120" s="19">
        <v>0</v>
      </c>
      <c r="H120" s="19">
        <f>F120*AE120</f>
        <v>0</v>
      </c>
      <c r="I120" s="19">
        <f>J120-H120</f>
        <v>0</v>
      </c>
      <c r="J120" s="19">
        <f>F120*G120</f>
        <v>0</v>
      </c>
      <c r="K120" s="19">
        <v>1.01939</v>
      </c>
      <c r="L120" s="19">
        <f>F120*K120</f>
        <v>0.07135730000000001</v>
      </c>
      <c r="M120" s="32" t="s">
        <v>863</v>
      </c>
      <c r="P120" s="37">
        <f>IF(AG120="5",J120,0)</f>
        <v>0</v>
      </c>
      <c r="R120" s="37">
        <f>IF(AG120="1",H120,0)</f>
        <v>0</v>
      </c>
      <c r="S120" s="37">
        <f>IF(AG120="1",I120,0)</f>
        <v>0</v>
      </c>
      <c r="T120" s="37">
        <f>IF(AG120="7",H120,0)</f>
        <v>0</v>
      </c>
      <c r="U120" s="37">
        <f>IF(AG120="7",I120,0)</f>
        <v>0</v>
      </c>
      <c r="V120" s="37">
        <f>IF(AG120="2",H120,0)</f>
        <v>0</v>
      </c>
      <c r="W120" s="37">
        <f>IF(AG120="2",I120,0)</f>
        <v>0</v>
      </c>
      <c r="X120" s="37">
        <f>IF(AG120="0",J120,0)</f>
        <v>0</v>
      </c>
      <c r="Y120" s="29"/>
      <c r="Z120" s="19">
        <f>IF(AD120=0,J120,0)</f>
        <v>0</v>
      </c>
      <c r="AA120" s="19">
        <f>IF(AD120=15,J120,0)</f>
        <v>0</v>
      </c>
      <c r="AB120" s="19">
        <f>IF(AD120=21,J120,0)</f>
        <v>0</v>
      </c>
      <c r="AD120" s="37">
        <v>21</v>
      </c>
      <c r="AE120" s="37">
        <f>G120*0.609093386405389</f>
        <v>0</v>
      </c>
      <c r="AF120" s="37">
        <f>G120*(1-0.609093386405389)</f>
        <v>0</v>
      </c>
      <c r="AG120" s="32" t="s">
        <v>7</v>
      </c>
      <c r="AM120" s="37">
        <f>F120*AE120</f>
        <v>0</v>
      </c>
      <c r="AN120" s="37">
        <f>F120*AF120</f>
        <v>0</v>
      </c>
      <c r="AO120" s="38" t="s">
        <v>883</v>
      </c>
      <c r="AP120" s="38" t="s">
        <v>916</v>
      </c>
      <c r="AQ120" s="29" t="s">
        <v>926</v>
      </c>
      <c r="AS120" s="37">
        <f>AM120+AN120</f>
        <v>0</v>
      </c>
      <c r="AT120" s="37">
        <f>G120/(100-AU120)*100</f>
        <v>0</v>
      </c>
      <c r="AU120" s="37">
        <v>0</v>
      </c>
      <c r="AV120" s="37">
        <f>L120</f>
        <v>0.07135730000000001</v>
      </c>
    </row>
    <row r="121" spans="1:48" ht="12.75">
      <c r="A121" s="4" t="s">
        <v>54</v>
      </c>
      <c r="B121" s="4"/>
      <c r="C121" s="4" t="s">
        <v>261</v>
      </c>
      <c r="D121" s="4" t="s">
        <v>541</v>
      </c>
      <c r="E121" s="4" t="s">
        <v>839</v>
      </c>
      <c r="F121" s="19">
        <v>12</v>
      </c>
      <c r="G121" s="19">
        <v>0</v>
      </c>
      <c r="H121" s="19">
        <f>F121*AE121</f>
        <v>0</v>
      </c>
      <c r="I121" s="19">
        <f>J121-H121</f>
        <v>0</v>
      </c>
      <c r="J121" s="19">
        <f>F121*G121</f>
        <v>0</v>
      </c>
      <c r="K121" s="19">
        <v>0.02534</v>
      </c>
      <c r="L121" s="19">
        <f>F121*K121</f>
        <v>0.30408</v>
      </c>
      <c r="M121" s="32" t="s">
        <v>863</v>
      </c>
      <c r="P121" s="37">
        <f>IF(AG121="5",J121,0)</f>
        <v>0</v>
      </c>
      <c r="R121" s="37">
        <f>IF(AG121="1",H121,0)</f>
        <v>0</v>
      </c>
      <c r="S121" s="37">
        <f>IF(AG121="1",I121,0)</f>
        <v>0</v>
      </c>
      <c r="T121" s="37">
        <f>IF(AG121="7",H121,0)</f>
        <v>0</v>
      </c>
      <c r="U121" s="37">
        <f>IF(AG121="7",I121,0)</f>
        <v>0</v>
      </c>
      <c r="V121" s="37">
        <f>IF(AG121="2",H121,0)</f>
        <v>0</v>
      </c>
      <c r="W121" s="37">
        <f>IF(AG121="2",I121,0)</f>
        <v>0</v>
      </c>
      <c r="X121" s="37">
        <f>IF(AG121="0",J121,0)</f>
        <v>0</v>
      </c>
      <c r="Y121" s="29"/>
      <c r="Z121" s="19">
        <f>IF(AD121=0,J121,0)</f>
        <v>0</v>
      </c>
      <c r="AA121" s="19">
        <f>IF(AD121=15,J121,0)</f>
        <v>0</v>
      </c>
      <c r="AB121" s="19">
        <f>IF(AD121=21,J121,0)</f>
        <v>0</v>
      </c>
      <c r="AD121" s="37">
        <v>21</v>
      </c>
      <c r="AE121" s="37">
        <f>G121*0.31136563876652</f>
        <v>0</v>
      </c>
      <c r="AF121" s="37">
        <f>G121*(1-0.31136563876652)</f>
        <v>0</v>
      </c>
      <c r="AG121" s="32" t="s">
        <v>7</v>
      </c>
      <c r="AM121" s="37">
        <f>F121*AE121</f>
        <v>0</v>
      </c>
      <c r="AN121" s="37">
        <f>F121*AF121</f>
        <v>0</v>
      </c>
      <c r="AO121" s="38" t="s">
        <v>883</v>
      </c>
      <c r="AP121" s="38" t="s">
        <v>916</v>
      </c>
      <c r="AQ121" s="29" t="s">
        <v>926</v>
      </c>
      <c r="AS121" s="37">
        <f>AM121+AN121</f>
        <v>0</v>
      </c>
      <c r="AT121" s="37">
        <f>G121/(100-AU121)*100</f>
        <v>0</v>
      </c>
      <c r="AU121" s="37">
        <v>0</v>
      </c>
      <c r="AV121" s="37">
        <f>L121</f>
        <v>0.30408</v>
      </c>
    </row>
    <row r="122" spans="4:6" ht="12.75">
      <c r="D122" s="15" t="s">
        <v>542</v>
      </c>
      <c r="F122" s="20">
        <v>12</v>
      </c>
    </row>
    <row r="123" spans="1:48" ht="12.75">
      <c r="A123" s="4" t="s">
        <v>55</v>
      </c>
      <c r="B123" s="4"/>
      <c r="C123" s="4" t="s">
        <v>262</v>
      </c>
      <c r="D123" s="4" t="s">
        <v>543</v>
      </c>
      <c r="E123" s="4" t="s">
        <v>840</v>
      </c>
      <c r="F123" s="19">
        <v>0.2</v>
      </c>
      <c r="G123" s="19">
        <v>0</v>
      </c>
      <c r="H123" s="19">
        <f>F123*AE123</f>
        <v>0</v>
      </c>
      <c r="I123" s="19">
        <f>J123-H123</f>
        <v>0</v>
      </c>
      <c r="J123" s="19">
        <f>F123*G123</f>
        <v>0</v>
      </c>
      <c r="K123" s="19">
        <v>0.01901</v>
      </c>
      <c r="L123" s="19">
        <f>F123*K123</f>
        <v>0.003802</v>
      </c>
      <c r="M123" s="32" t="s">
        <v>863</v>
      </c>
      <c r="P123" s="37">
        <f>IF(AG123="5",J123,0)</f>
        <v>0</v>
      </c>
      <c r="R123" s="37">
        <f>IF(AG123="1",H123,0)</f>
        <v>0</v>
      </c>
      <c r="S123" s="37">
        <f>IF(AG123="1",I123,0)</f>
        <v>0</v>
      </c>
      <c r="T123" s="37">
        <f>IF(AG123="7",H123,0)</f>
        <v>0</v>
      </c>
      <c r="U123" s="37">
        <f>IF(AG123="7",I123,0)</f>
        <v>0</v>
      </c>
      <c r="V123" s="37">
        <f>IF(AG123="2",H123,0)</f>
        <v>0</v>
      </c>
      <c r="W123" s="37">
        <f>IF(AG123="2",I123,0)</f>
        <v>0</v>
      </c>
      <c r="X123" s="37">
        <f>IF(AG123="0",J123,0)</f>
        <v>0</v>
      </c>
      <c r="Y123" s="29"/>
      <c r="Z123" s="19">
        <f>IF(AD123=0,J123,0)</f>
        <v>0</v>
      </c>
      <c r="AA123" s="19">
        <f>IF(AD123=15,J123,0)</f>
        <v>0</v>
      </c>
      <c r="AB123" s="19">
        <f>IF(AD123=21,J123,0)</f>
        <v>0</v>
      </c>
      <c r="AD123" s="37">
        <v>21</v>
      </c>
      <c r="AE123" s="37">
        <f>G123*0.0026081992734821</f>
        <v>0</v>
      </c>
      <c r="AF123" s="37">
        <f>G123*(1-0.0026081992734821)</f>
        <v>0</v>
      </c>
      <c r="AG123" s="32" t="s">
        <v>7</v>
      </c>
      <c r="AM123" s="37">
        <f>F123*AE123</f>
        <v>0</v>
      </c>
      <c r="AN123" s="37">
        <f>F123*AF123</f>
        <v>0</v>
      </c>
      <c r="AO123" s="38" t="s">
        <v>883</v>
      </c>
      <c r="AP123" s="38" t="s">
        <v>916</v>
      </c>
      <c r="AQ123" s="29" t="s">
        <v>926</v>
      </c>
      <c r="AS123" s="37">
        <f>AM123+AN123</f>
        <v>0</v>
      </c>
      <c r="AT123" s="37">
        <f>G123/(100-AU123)*100</f>
        <v>0</v>
      </c>
      <c r="AU123" s="37">
        <v>0</v>
      </c>
      <c r="AV123" s="37">
        <f>L123</f>
        <v>0.003802</v>
      </c>
    </row>
    <row r="124" spans="4:6" ht="12.75">
      <c r="D124" s="15" t="s">
        <v>544</v>
      </c>
      <c r="F124" s="20">
        <v>0.17</v>
      </c>
    </row>
    <row r="125" spans="4:6" ht="12.75">
      <c r="D125" s="15" t="s">
        <v>545</v>
      </c>
      <c r="F125" s="20">
        <v>0.03</v>
      </c>
    </row>
    <row r="126" spans="4:6" ht="12.75">
      <c r="D126" s="15" t="s">
        <v>546</v>
      </c>
      <c r="F126" s="20">
        <v>0</v>
      </c>
    </row>
    <row r="127" spans="1:48" ht="12.75">
      <c r="A127" s="6" t="s">
        <v>56</v>
      </c>
      <c r="B127" s="6"/>
      <c r="C127" s="6" t="s">
        <v>263</v>
      </c>
      <c r="D127" s="6" t="s">
        <v>547</v>
      </c>
      <c r="E127" s="6" t="s">
        <v>840</v>
      </c>
      <c r="F127" s="21">
        <v>0.18</v>
      </c>
      <c r="G127" s="21">
        <v>0</v>
      </c>
      <c r="H127" s="21">
        <f>F127*AE127</f>
        <v>0</v>
      </c>
      <c r="I127" s="21">
        <f>J127-H127</f>
        <v>0</v>
      </c>
      <c r="J127" s="21">
        <f>F127*G127</f>
        <v>0</v>
      </c>
      <c r="K127" s="21">
        <v>1</v>
      </c>
      <c r="L127" s="21">
        <f>F127*K127</f>
        <v>0.18</v>
      </c>
      <c r="M127" s="33" t="s">
        <v>863</v>
      </c>
      <c r="P127" s="37">
        <f>IF(AG127="5",J127,0)</f>
        <v>0</v>
      </c>
      <c r="R127" s="37">
        <f>IF(AG127="1",H127,0)</f>
        <v>0</v>
      </c>
      <c r="S127" s="37">
        <f>IF(AG127="1",I127,0)</f>
        <v>0</v>
      </c>
      <c r="T127" s="37">
        <f>IF(AG127="7",H127,0)</f>
        <v>0</v>
      </c>
      <c r="U127" s="37">
        <f>IF(AG127="7",I127,0)</f>
        <v>0</v>
      </c>
      <c r="V127" s="37">
        <f>IF(AG127="2",H127,0)</f>
        <v>0</v>
      </c>
      <c r="W127" s="37">
        <f>IF(AG127="2",I127,0)</f>
        <v>0</v>
      </c>
      <c r="X127" s="37">
        <f>IF(AG127="0",J127,0)</f>
        <v>0</v>
      </c>
      <c r="Y127" s="29"/>
      <c r="Z127" s="21">
        <f>IF(AD127=0,J127,0)</f>
        <v>0</v>
      </c>
      <c r="AA127" s="21">
        <f>IF(AD127=15,J127,0)</f>
        <v>0</v>
      </c>
      <c r="AB127" s="21">
        <f>IF(AD127=21,J127,0)</f>
        <v>0</v>
      </c>
      <c r="AD127" s="37">
        <v>21</v>
      </c>
      <c r="AE127" s="37">
        <f>G127*1</f>
        <v>0</v>
      </c>
      <c r="AF127" s="37">
        <f>G127*(1-1)</f>
        <v>0</v>
      </c>
      <c r="AG127" s="33" t="s">
        <v>7</v>
      </c>
      <c r="AM127" s="37">
        <f>F127*AE127</f>
        <v>0</v>
      </c>
      <c r="AN127" s="37">
        <f>F127*AF127</f>
        <v>0</v>
      </c>
      <c r="AO127" s="38" t="s">
        <v>883</v>
      </c>
      <c r="AP127" s="38" t="s">
        <v>916</v>
      </c>
      <c r="AQ127" s="29" t="s">
        <v>926</v>
      </c>
      <c r="AS127" s="37">
        <f>AM127+AN127</f>
        <v>0</v>
      </c>
      <c r="AT127" s="37">
        <f>G127/(100-AU127)*100</f>
        <v>0</v>
      </c>
      <c r="AU127" s="37">
        <v>0</v>
      </c>
      <c r="AV127" s="37">
        <f>L127</f>
        <v>0.18</v>
      </c>
    </row>
    <row r="128" spans="4:6" ht="12.75">
      <c r="D128" s="15" t="s">
        <v>544</v>
      </c>
      <c r="F128" s="20">
        <v>0.17</v>
      </c>
    </row>
    <row r="129" spans="4:6" ht="12.75">
      <c r="D129" s="15" t="s">
        <v>548</v>
      </c>
      <c r="F129" s="20">
        <v>0.01</v>
      </c>
    </row>
    <row r="130" spans="1:48" ht="12.75">
      <c r="A130" s="6" t="s">
        <v>57</v>
      </c>
      <c r="B130" s="6"/>
      <c r="C130" s="6" t="s">
        <v>264</v>
      </c>
      <c r="D130" s="6" t="s">
        <v>549</v>
      </c>
      <c r="E130" s="6" t="s">
        <v>840</v>
      </c>
      <c r="F130" s="21">
        <v>0.03</v>
      </c>
      <c r="G130" s="21">
        <v>0</v>
      </c>
      <c r="H130" s="21">
        <f>F130*AE130</f>
        <v>0</v>
      </c>
      <c r="I130" s="21">
        <f>J130-H130</f>
        <v>0</v>
      </c>
      <c r="J130" s="21">
        <f>F130*G130</f>
        <v>0</v>
      </c>
      <c r="K130" s="21">
        <v>1</v>
      </c>
      <c r="L130" s="21">
        <f>F130*K130</f>
        <v>0.03</v>
      </c>
      <c r="M130" s="33" t="s">
        <v>863</v>
      </c>
      <c r="P130" s="37">
        <f>IF(AG130="5",J130,0)</f>
        <v>0</v>
      </c>
      <c r="R130" s="37">
        <f>IF(AG130="1",H130,0)</f>
        <v>0</v>
      </c>
      <c r="S130" s="37">
        <f>IF(AG130="1",I130,0)</f>
        <v>0</v>
      </c>
      <c r="T130" s="37">
        <f>IF(AG130="7",H130,0)</f>
        <v>0</v>
      </c>
      <c r="U130" s="37">
        <f>IF(AG130="7",I130,0)</f>
        <v>0</v>
      </c>
      <c r="V130" s="37">
        <f>IF(AG130="2",H130,0)</f>
        <v>0</v>
      </c>
      <c r="W130" s="37">
        <f>IF(AG130="2",I130,0)</f>
        <v>0</v>
      </c>
      <c r="X130" s="37">
        <f>IF(AG130="0",J130,0)</f>
        <v>0</v>
      </c>
      <c r="Y130" s="29"/>
      <c r="Z130" s="21">
        <f>IF(AD130=0,J130,0)</f>
        <v>0</v>
      </c>
      <c r="AA130" s="21">
        <f>IF(AD130=15,J130,0)</f>
        <v>0</v>
      </c>
      <c r="AB130" s="21">
        <f>IF(AD130=21,J130,0)</f>
        <v>0</v>
      </c>
      <c r="AD130" s="37">
        <v>21</v>
      </c>
      <c r="AE130" s="37">
        <f>G130*1</f>
        <v>0</v>
      </c>
      <c r="AF130" s="37">
        <f>G130*(1-1)</f>
        <v>0</v>
      </c>
      <c r="AG130" s="33" t="s">
        <v>7</v>
      </c>
      <c r="AM130" s="37">
        <f>F130*AE130</f>
        <v>0</v>
      </c>
      <c r="AN130" s="37">
        <f>F130*AF130</f>
        <v>0</v>
      </c>
      <c r="AO130" s="38" t="s">
        <v>883</v>
      </c>
      <c r="AP130" s="38" t="s">
        <v>916</v>
      </c>
      <c r="AQ130" s="29" t="s">
        <v>926</v>
      </c>
      <c r="AS130" s="37">
        <f>AM130+AN130</f>
        <v>0</v>
      </c>
      <c r="AT130" s="37">
        <f>G130/(100-AU130)*100</f>
        <v>0</v>
      </c>
      <c r="AU130" s="37">
        <v>0</v>
      </c>
      <c r="AV130" s="37">
        <f>L130</f>
        <v>0.03</v>
      </c>
    </row>
    <row r="131" spans="4:6" ht="12.75">
      <c r="D131" s="15" t="s">
        <v>545</v>
      </c>
      <c r="F131" s="20">
        <v>0.03</v>
      </c>
    </row>
    <row r="132" spans="4:6" ht="12.75">
      <c r="D132" s="15" t="s">
        <v>550</v>
      </c>
      <c r="F132" s="20">
        <v>0</v>
      </c>
    </row>
    <row r="133" spans="1:48" ht="12.75">
      <c r="A133" s="6" t="s">
        <v>58</v>
      </c>
      <c r="B133" s="6"/>
      <c r="C133" s="6" t="s">
        <v>265</v>
      </c>
      <c r="D133" s="6" t="s">
        <v>551</v>
      </c>
      <c r="E133" s="6" t="s">
        <v>842</v>
      </c>
      <c r="F133" s="21">
        <v>196.9</v>
      </c>
      <c r="G133" s="21">
        <v>0</v>
      </c>
      <c r="H133" s="21">
        <f>F133*AE133</f>
        <v>0</v>
      </c>
      <c r="I133" s="21">
        <f>J133-H133</f>
        <v>0</v>
      </c>
      <c r="J133" s="21">
        <f>F133*G133</f>
        <v>0</v>
      </c>
      <c r="K133" s="21">
        <v>0.001</v>
      </c>
      <c r="L133" s="21">
        <f>F133*K133</f>
        <v>0.19690000000000002</v>
      </c>
      <c r="M133" s="33" t="s">
        <v>863</v>
      </c>
      <c r="P133" s="37">
        <f>IF(AG133="5",J133,0)</f>
        <v>0</v>
      </c>
      <c r="R133" s="37">
        <f>IF(AG133="1",H133,0)</f>
        <v>0</v>
      </c>
      <c r="S133" s="37">
        <f>IF(AG133="1",I133,0)</f>
        <v>0</v>
      </c>
      <c r="T133" s="37">
        <f>IF(AG133="7",H133,0)</f>
        <v>0</v>
      </c>
      <c r="U133" s="37">
        <f>IF(AG133="7",I133,0)</f>
        <v>0</v>
      </c>
      <c r="V133" s="37">
        <f>IF(AG133="2",H133,0)</f>
        <v>0</v>
      </c>
      <c r="W133" s="37">
        <f>IF(AG133="2",I133,0)</f>
        <v>0</v>
      </c>
      <c r="X133" s="37">
        <f>IF(AG133="0",J133,0)</f>
        <v>0</v>
      </c>
      <c r="Y133" s="29"/>
      <c r="Z133" s="21">
        <f>IF(AD133=0,J133,0)</f>
        <v>0</v>
      </c>
      <c r="AA133" s="21">
        <f>IF(AD133=15,J133,0)</f>
        <v>0</v>
      </c>
      <c r="AB133" s="21">
        <f>IF(AD133=21,J133,0)</f>
        <v>0</v>
      </c>
      <c r="AD133" s="37">
        <v>21</v>
      </c>
      <c r="AE133" s="37">
        <f>G133*1</f>
        <v>0</v>
      </c>
      <c r="AF133" s="37">
        <f>G133*(1-1)</f>
        <v>0</v>
      </c>
      <c r="AG133" s="33" t="s">
        <v>7</v>
      </c>
      <c r="AM133" s="37">
        <f>F133*AE133</f>
        <v>0</v>
      </c>
      <c r="AN133" s="37">
        <f>F133*AF133</f>
        <v>0</v>
      </c>
      <c r="AO133" s="38" t="s">
        <v>883</v>
      </c>
      <c r="AP133" s="38" t="s">
        <v>916</v>
      </c>
      <c r="AQ133" s="29" t="s">
        <v>926</v>
      </c>
      <c r="AS133" s="37">
        <f>AM133+AN133</f>
        <v>0</v>
      </c>
      <c r="AT133" s="37">
        <f>G133/(100-AU133)*100</f>
        <v>0</v>
      </c>
      <c r="AU133" s="37">
        <v>0</v>
      </c>
      <c r="AV133" s="37">
        <f>L133</f>
        <v>0.19690000000000002</v>
      </c>
    </row>
    <row r="134" spans="4:6" ht="12.75">
      <c r="D134" s="15" t="s">
        <v>552</v>
      </c>
      <c r="F134" s="20">
        <v>165.08</v>
      </c>
    </row>
    <row r="135" spans="4:6" ht="12.75">
      <c r="D135" s="15" t="s">
        <v>553</v>
      </c>
      <c r="F135" s="20">
        <v>29.44</v>
      </c>
    </row>
    <row r="136" spans="4:6" ht="12.75">
      <c r="D136" s="15" t="s">
        <v>554</v>
      </c>
      <c r="F136" s="20">
        <v>2.38</v>
      </c>
    </row>
    <row r="137" spans="1:48" ht="12.75">
      <c r="A137" s="6" t="s">
        <v>59</v>
      </c>
      <c r="B137" s="6"/>
      <c r="C137" s="6" t="s">
        <v>266</v>
      </c>
      <c r="D137" s="6" t="s">
        <v>555</v>
      </c>
      <c r="E137" s="6" t="s">
        <v>840</v>
      </c>
      <c r="F137" s="21">
        <v>0.01</v>
      </c>
      <c r="G137" s="21">
        <v>0</v>
      </c>
      <c r="H137" s="21">
        <f>F137*AE137</f>
        <v>0</v>
      </c>
      <c r="I137" s="21">
        <f>J137-H137</f>
        <v>0</v>
      </c>
      <c r="J137" s="21">
        <f>F137*G137</f>
        <v>0</v>
      </c>
      <c r="K137" s="21">
        <v>1</v>
      </c>
      <c r="L137" s="21">
        <f>F137*K137</f>
        <v>0.01</v>
      </c>
      <c r="M137" s="33" t="s">
        <v>863</v>
      </c>
      <c r="P137" s="37">
        <f>IF(AG137="5",J137,0)</f>
        <v>0</v>
      </c>
      <c r="R137" s="37">
        <f>IF(AG137="1",H137,0)</f>
        <v>0</v>
      </c>
      <c r="S137" s="37">
        <f>IF(AG137="1",I137,0)</f>
        <v>0</v>
      </c>
      <c r="T137" s="37">
        <f>IF(AG137="7",H137,0)</f>
        <v>0</v>
      </c>
      <c r="U137" s="37">
        <f>IF(AG137="7",I137,0)</f>
        <v>0</v>
      </c>
      <c r="V137" s="37">
        <f>IF(AG137="2",H137,0)</f>
        <v>0</v>
      </c>
      <c r="W137" s="37">
        <f>IF(AG137="2",I137,0)</f>
        <v>0</v>
      </c>
      <c r="X137" s="37">
        <f>IF(AG137="0",J137,0)</f>
        <v>0</v>
      </c>
      <c r="Y137" s="29"/>
      <c r="Z137" s="21">
        <f>IF(AD137=0,J137,0)</f>
        <v>0</v>
      </c>
      <c r="AA137" s="21">
        <f>IF(AD137=15,J137,0)</f>
        <v>0</v>
      </c>
      <c r="AB137" s="21">
        <f>IF(AD137=21,J137,0)</f>
        <v>0</v>
      </c>
      <c r="AD137" s="37">
        <v>21</v>
      </c>
      <c r="AE137" s="37">
        <f>G137*1</f>
        <v>0</v>
      </c>
      <c r="AF137" s="37">
        <f>G137*(1-1)</f>
        <v>0</v>
      </c>
      <c r="AG137" s="33" t="s">
        <v>7</v>
      </c>
      <c r="AM137" s="37">
        <f>F137*AE137</f>
        <v>0</v>
      </c>
      <c r="AN137" s="37">
        <f>F137*AF137</f>
        <v>0</v>
      </c>
      <c r="AO137" s="38" t="s">
        <v>883</v>
      </c>
      <c r="AP137" s="38" t="s">
        <v>916</v>
      </c>
      <c r="AQ137" s="29" t="s">
        <v>926</v>
      </c>
      <c r="AS137" s="37">
        <f>AM137+AN137</f>
        <v>0</v>
      </c>
      <c r="AT137" s="37">
        <f>G137/(100-AU137)*100</f>
        <v>0</v>
      </c>
      <c r="AU137" s="37">
        <v>0</v>
      </c>
      <c r="AV137" s="37">
        <f>L137</f>
        <v>0.01</v>
      </c>
    </row>
    <row r="138" spans="4:6" ht="12.75">
      <c r="D138" s="15" t="s">
        <v>556</v>
      </c>
      <c r="F138" s="20">
        <v>0.01</v>
      </c>
    </row>
    <row r="139" spans="4:6" ht="12.75">
      <c r="D139" s="15" t="s">
        <v>557</v>
      </c>
      <c r="F139" s="20">
        <v>0</v>
      </c>
    </row>
    <row r="140" spans="1:48" ht="12.75">
      <c r="A140" s="6" t="s">
        <v>60</v>
      </c>
      <c r="B140" s="6"/>
      <c r="C140" s="6" t="s">
        <v>267</v>
      </c>
      <c r="D140" s="6" t="s">
        <v>558</v>
      </c>
      <c r="E140" s="6" t="s">
        <v>843</v>
      </c>
      <c r="F140" s="21">
        <v>0.11</v>
      </c>
      <c r="G140" s="21">
        <v>0</v>
      </c>
      <c r="H140" s="21">
        <f>F140*AE140</f>
        <v>0</v>
      </c>
      <c r="I140" s="21">
        <f>J140-H140</f>
        <v>0</v>
      </c>
      <c r="J140" s="21">
        <f>F140*G140</f>
        <v>0</v>
      </c>
      <c r="K140" s="21">
        <v>0.035</v>
      </c>
      <c r="L140" s="21">
        <f>F140*K140</f>
        <v>0.0038500000000000006</v>
      </c>
      <c r="M140" s="33" t="s">
        <v>863</v>
      </c>
      <c r="P140" s="37">
        <f>IF(AG140="5",J140,0)</f>
        <v>0</v>
      </c>
      <c r="R140" s="37">
        <f>IF(AG140="1",H140,0)</f>
        <v>0</v>
      </c>
      <c r="S140" s="37">
        <f>IF(AG140="1",I140,0)</f>
        <v>0</v>
      </c>
      <c r="T140" s="37">
        <f>IF(AG140="7",H140,0)</f>
        <v>0</v>
      </c>
      <c r="U140" s="37">
        <f>IF(AG140="7",I140,0)</f>
        <v>0</v>
      </c>
      <c r="V140" s="37">
        <f>IF(AG140="2",H140,0)</f>
        <v>0</v>
      </c>
      <c r="W140" s="37">
        <f>IF(AG140="2",I140,0)</f>
        <v>0</v>
      </c>
      <c r="X140" s="37">
        <f>IF(AG140="0",J140,0)</f>
        <v>0</v>
      </c>
      <c r="Y140" s="29"/>
      <c r="Z140" s="21">
        <f>IF(AD140=0,J140,0)</f>
        <v>0</v>
      </c>
      <c r="AA140" s="21">
        <f>IF(AD140=15,J140,0)</f>
        <v>0</v>
      </c>
      <c r="AB140" s="21">
        <f>IF(AD140=21,J140,0)</f>
        <v>0</v>
      </c>
      <c r="AD140" s="37">
        <v>21</v>
      </c>
      <c r="AE140" s="37">
        <f>G140*1</f>
        <v>0</v>
      </c>
      <c r="AF140" s="37">
        <f>G140*(1-1)</f>
        <v>0</v>
      </c>
      <c r="AG140" s="33" t="s">
        <v>7</v>
      </c>
      <c r="AM140" s="37">
        <f>F140*AE140</f>
        <v>0</v>
      </c>
      <c r="AN140" s="37">
        <f>F140*AF140</f>
        <v>0</v>
      </c>
      <c r="AO140" s="38" t="s">
        <v>883</v>
      </c>
      <c r="AP140" s="38" t="s">
        <v>916</v>
      </c>
      <c r="AQ140" s="29" t="s">
        <v>926</v>
      </c>
      <c r="AS140" s="37">
        <f>AM140+AN140</f>
        <v>0</v>
      </c>
      <c r="AT140" s="37">
        <f>G140/(100-AU140)*100</f>
        <v>0</v>
      </c>
      <c r="AU140" s="37">
        <v>0</v>
      </c>
      <c r="AV140" s="37">
        <f>L140</f>
        <v>0.0038500000000000006</v>
      </c>
    </row>
    <row r="141" spans="4:6" ht="12.75">
      <c r="D141" s="15" t="s">
        <v>559</v>
      </c>
      <c r="F141" s="20">
        <v>0.11</v>
      </c>
    </row>
    <row r="142" spans="1:48" ht="12.75">
      <c r="A142" s="6" t="s">
        <v>61</v>
      </c>
      <c r="B142" s="6"/>
      <c r="C142" s="6" t="s">
        <v>268</v>
      </c>
      <c r="D142" s="6" t="s">
        <v>560</v>
      </c>
      <c r="E142" s="6" t="s">
        <v>839</v>
      </c>
      <c r="F142" s="21">
        <v>112</v>
      </c>
      <c r="G142" s="21">
        <v>0</v>
      </c>
      <c r="H142" s="21">
        <f>F142*AE142</f>
        <v>0</v>
      </c>
      <c r="I142" s="21">
        <f>J142-H142</f>
        <v>0</v>
      </c>
      <c r="J142" s="21">
        <f>F142*G142</f>
        <v>0</v>
      </c>
      <c r="K142" s="21">
        <v>0</v>
      </c>
      <c r="L142" s="21">
        <f>F142*K142</f>
        <v>0</v>
      </c>
      <c r="M142" s="33" t="s">
        <v>863</v>
      </c>
      <c r="P142" s="37">
        <f>IF(AG142="5",J142,0)</f>
        <v>0</v>
      </c>
      <c r="R142" s="37">
        <f>IF(AG142="1",H142,0)</f>
        <v>0</v>
      </c>
      <c r="S142" s="37">
        <f>IF(AG142="1",I142,0)</f>
        <v>0</v>
      </c>
      <c r="T142" s="37">
        <f>IF(AG142="7",H142,0)</f>
        <v>0</v>
      </c>
      <c r="U142" s="37">
        <f>IF(AG142="7",I142,0)</f>
        <v>0</v>
      </c>
      <c r="V142" s="37">
        <f>IF(AG142="2",H142,0)</f>
        <v>0</v>
      </c>
      <c r="W142" s="37">
        <f>IF(AG142="2",I142,0)</f>
        <v>0</v>
      </c>
      <c r="X142" s="37">
        <f>IF(AG142="0",J142,0)</f>
        <v>0</v>
      </c>
      <c r="Y142" s="29"/>
      <c r="Z142" s="21">
        <f>IF(AD142=0,J142,0)</f>
        <v>0</v>
      </c>
      <c r="AA142" s="21">
        <f>IF(AD142=15,J142,0)</f>
        <v>0</v>
      </c>
      <c r="AB142" s="21">
        <f>IF(AD142=21,J142,0)</f>
        <v>0</v>
      </c>
      <c r="AD142" s="37">
        <v>21</v>
      </c>
      <c r="AE142" s="37">
        <f>G142*1</f>
        <v>0</v>
      </c>
      <c r="AF142" s="37">
        <f>G142*(1-1)</f>
        <v>0</v>
      </c>
      <c r="AG142" s="33" t="s">
        <v>7</v>
      </c>
      <c r="AM142" s="37">
        <f>F142*AE142</f>
        <v>0</v>
      </c>
      <c r="AN142" s="37">
        <f>F142*AF142</f>
        <v>0</v>
      </c>
      <c r="AO142" s="38" t="s">
        <v>883</v>
      </c>
      <c r="AP142" s="38" t="s">
        <v>916</v>
      </c>
      <c r="AQ142" s="29" t="s">
        <v>926</v>
      </c>
      <c r="AS142" s="37">
        <f>AM142+AN142</f>
        <v>0</v>
      </c>
      <c r="AT142" s="37">
        <f>G142/(100-AU142)*100</f>
        <v>0</v>
      </c>
      <c r="AU142" s="37">
        <v>0</v>
      </c>
      <c r="AV142" s="37">
        <f>L142</f>
        <v>0</v>
      </c>
    </row>
    <row r="143" spans="4:6" ht="12.75">
      <c r="D143" s="15" t="s">
        <v>561</v>
      </c>
      <c r="F143" s="20">
        <v>112</v>
      </c>
    </row>
    <row r="144" spans="1:48" ht="12.75">
      <c r="A144" s="6" t="s">
        <v>62</v>
      </c>
      <c r="B144" s="6"/>
      <c r="C144" s="6" t="s">
        <v>269</v>
      </c>
      <c r="D144" s="6" t="s">
        <v>562</v>
      </c>
      <c r="E144" s="6" t="s">
        <v>839</v>
      </c>
      <c r="F144" s="21">
        <v>224</v>
      </c>
      <c r="G144" s="21">
        <v>0</v>
      </c>
      <c r="H144" s="21">
        <f>F144*AE144</f>
        <v>0</v>
      </c>
      <c r="I144" s="21">
        <f>J144-H144</f>
        <v>0</v>
      </c>
      <c r="J144" s="21">
        <f>F144*G144</f>
        <v>0</v>
      </c>
      <c r="K144" s="21">
        <v>0</v>
      </c>
      <c r="L144" s="21">
        <f>F144*K144</f>
        <v>0</v>
      </c>
      <c r="M144" s="33" t="s">
        <v>863</v>
      </c>
      <c r="P144" s="37">
        <f>IF(AG144="5",J144,0)</f>
        <v>0</v>
      </c>
      <c r="R144" s="37">
        <f>IF(AG144="1",H144,0)</f>
        <v>0</v>
      </c>
      <c r="S144" s="37">
        <f>IF(AG144="1",I144,0)</f>
        <v>0</v>
      </c>
      <c r="T144" s="37">
        <f>IF(AG144="7",H144,0)</f>
        <v>0</v>
      </c>
      <c r="U144" s="37">
        <f>IF(AG144="7",I144,0)</f>
        <v>0</v>
      </c>
      <c r="V144" s="37">
        <f>IF(AG144="2",H144,0)</f>
        <v>0</v>
      </c>
      <c r="W144" s="37">
        <f>IF(AG144="2",I144,0)</f>
        <v>0</v>
      </c>
      <c r="X144" s="37">
        <f>IF(AG144="0",J144,0)</f>
        <v>0</v>
      </c>
      <c r="Y144" s="29"/>
      <c r="Z144" s="21">
        <f>IF(AD144=0,J144,0)</f>
        <v>0</v>
      </c>
      <c r="AA144" s="21">
        <f>IF(AD144=15,J144,0)</f>
        <v>0</v>
      </c>
      <c r="AB144" s="21">
        <f>IF(AD144=21,J144,0)</f>
        <v>0</v>
      </c>
      <c r="AD144" s="37">
        <v>21</v>
      </c>
      <c r="AE144" s="37">
        <f>G144*1</f>
        <v>0</v>
      </c>
      <c r="AF144" s="37">
        <f>G144*(1-1)</f>
        <v>0</v>
      </c>
      <c r="AG144" s="33" t="s">
        <v>7</v>
      </c>
      <c r="AM144" s="37">
        <f>F144*AE144</f>
        <v>0</v>
      </c>
      <c r="AN144" s="37">
        <f>F144*AF144</f>
        <v>0</v>
      </c>
      <c r="AO144" s="38" t="s">
        <v>883</v>
      </c>
      <c r="AP144" s="38" t="s">
        <v>916</v>
      </c>
      <c r="AQ144" s="29" t="s">
        <v>926</v>
      </c>
      <c r="AS144" s="37">
        <f>AM144+AN144</f>
        <v>0</v>
      </c>
      <c r="AT144" s="37">
        <f>G144/(100-AU144)*100</f>
        <v>0</v>
      </c>
      <c r="AU144" s="37">
        <v>0</v>
      </c>
      <c r="AV144" s="37">
        <f>L144</f>
        <v>0</v>
      </c>
    </row>
    <row r="145" spans="4:6" ht="12.75">
      <c r="D145" s="15" t="s">
        <v>563</v>
      </c>
      <c r="F145" s="20">
        <v>224</v>
      </c>
    </row>
    <row r="146" spans="1:37" ht="12.75">
      <c r="A146" s="5"/>
      <c r="B146" s="13"/>
      <c r="C146" s="13" t="s">
        <v>62</v>
      </c>
      <c r="D146" s="13" t="s">
        <v>564</v>
      </c>
      <c r="E146" s="5" t="s">
        <v>6</v>
      </c>
      <c r="F146" s="5" t="s">
        <v>6</v>
      </c>
      <c r="G146" s="5" t="s">
        <v>6</v>
      </c>
      <c r="H146" s="40">
        <f>SUM(H147:H147)</f>
        <v>0</v>
      </c>
      <c r="I146" s="40">
        <f>SUM(I147:I147)</f>
        <v>0</v>
      </c>
      <c r="J146" s="40">
        <f>H146+I146</f>
        <v>0</v>
      </c>
      <c r="K146" s="29"/>
      <c r="L146" s="40">
        <f>SUM(L147:L147)</f>
        <v>4.5423</v>
      </c>
      <c r="M146" s="29"/>
      <c r="Y146" s="29"/>
      <c r="AI146" s="40">
        <f>SUM(Z147:Z147)</f>
        <v>0</v>
      </c>
      <c r="AJ146" s="40">
        <f>SUM(AA147:AA147)</f>
        <v>0</v>
      </c>
      <c r="AK146" s="40">
        <f>SUM(AB147:AB147)</f>
        <v>0</v>
      </c>
    </row>
    <row r="147" spans="1:48" ht="12.75">
      <c r="A147" s="4" t="s">
        <v>63</v>
      </c>
      <c r="B147" s="4"/>
      <c r="C147" s="4" t="s">
        <v>270</v>
      </c>
      <c r="D147" s="4" t="s">
        <v>565</v>
      </c>
      <c r="E147" s="4" t="s">
        <v>841</v>
      </c>
      <c r="F147" s="19">
        <v>8.24</v>
      </c>
      <c r="G147" s="19">
        <v>0</v>
      </c>
      <c r="H147" s="19">
        <f>F147*AE147</f>
        <v>0</v>
      </c>
      <c r="I147" s="19">
        <f>J147-H147</f>
        <v>0</v>
      </c>
      <c r="J147" s="19">
        <f>F147*G147</f>
        <v>0</v>
      </c>
      <c r="K147" s="19">
        <v>0.55125</v>
      </c>
      <c r="L147" s="19">
        <f>F147*K147</f>
        <v>4.5423</v>
      </c>
      <c r="M147" s="32" t="s">
        <v>863</v>
      </c>
      <c r="P147" s="37">
        <f>IF(AG147="5",J147,0)</f>
        <v>0</v>
      </c>
      <c r="R147" s="37">
        <f>IF(AG147="1",H147,0)</f>
        <v>0</v>
      </c>
      <c r="S147" s="37">
        <f>IF(AG147="1",I147,0)</f>
        <v>0</v>
      </c>
      <c r="T147" s="37">
        <f>IF(AG147="7",H147,0)</f>
        <v>0</v>
      </c>
      <c r="U147" s="37">
        <f>IF(AG147="7",I147,0)</f>
        <v>0</v>
      </c>
      <c r="V147" s="37">
        <f>IF(AG147="2",H147,0)</f>
        <v>0</v>
      </c>
      <c r="W147" s="37">
        <f>IF(AG147="2",I147,0)</f>
        <v>0</v>
      </c>
      <c r="X147" s="37">
        <f>IF(AG147="0",J147,0)</f>
        <v>0</v>
      </c>
      <c r="Y147" s="29"/>
      <c r="Z147" s="19">
        <f>IF(AD147=0,J147,0)</f>
        <v>0</v>
      </c>
      <c r="AA147" s="19">
        <f>IF(AD147=15,J147,0)</f>
        <v>0</v>
      </c>
      <c r="AB147" s="19">
        <f>IF(AD147=21,J147,0)</f>
        <v>0</v>
      </c>
      <c r="AD147" s="37">
        <v>21</v>
      </c>
      <c r="AE147" s="37">
        <f>G147*0.883897637795276</f>
        <v>0</v>
      </c>
      <c r="AF147" s="37">
        <f>G147*(1-0.883897637795276)</f>
        <v>0</v>
      </c>
      <c r="AG147" s="32" t="s">
        <v>7</v>
      </c>
      <c r="AM147" s="37">
        <f>F147*AE147</f>
        <v>0</v>
      </c>
      <c r="AN147" s="37">
        <f>F147*AF147</f>
        <v>0</v>
      </c>
      <c r="AO147" s="38" t="s">
        <v>884</v>
      </c>
      <c r="AP147" s="38" t="s">
        <v>917</v>
      </c>
      <c r="AQ147" s="29" t="s">
        <v>926</v>
      </c>
      <c r="AS147" s="37">
        <f>AM147+AN147</f>
        <v>0</v>
      </c>
      <c r="AT147" s="37">
        <f>G147/(100-AU147)*100</f>
        <v>0</v>
      </c>
      <c r="AU147" s="37">
        <v>0</v>
      </c>
      <c r="AV147" s="37">
        <f>L147</f>
        <v>4.5423</v>
      </c>
    </row>
    <row r="148" spans="1:37" ht="12.75">
      <c r="A148" s="5"/>
      <c r="B148" s="13"/>
      <c r="C148" s="13" t="s">
        <v>65</v>
      </c>
      <c r="D148" s="13" t="s">
        <v>566</v>
      </c>
      <c r="E148" s="5" t="s">
        <v>6</v>
      </c>
      <c r="F148" s="5" t="s">
        <v>6</v>
      </c>
      <c r="G148" s="5" t="s">
        <v>6</v>
      </c>
      <c r="H148" s="40">
        <f>SUM(H149:H154)</f>
        <v>0</v>
      </c>
      <c r="I148" s="40">
        <f>SUM(I149:I154)</f>
        <v>0</v>
      </c>
      <c r="J148" s="40">
        <f>H148+I148</f>
        <v>0</v>
      </c>
      <c r="K148" s="29"/>
      <c r="L148" s="40">
        <f>SUM(L149:L154)</f>
        <v>1.744561</v>
      </c>
      <c r="M148" s="29"/>
      <c r="Y148" s="29"/>
      <c r="AI148" s="40">
        <f>SUM(Z149:Z154)</f>
        <v>0</v>
      </c>
      <c r="AJ148" s="40">
        <f>SUM(AA149:AA154)</f>
        <v>0</v>
      </c>
      <c r="AK148" s="40">
        <f>SUM(AB149:AB154)</f>
        <v>0</v>
      </c>
    </row>
    <row r="149" spans="1:48" ht="12.75">
      <c r="A149" s="4" t="s">
        <v>64</v>
      </c>
      <c r="B149" s="4"/>
      <c r="C149" s="4" t="s">
        <v>271</v>
      </c>
      <c r="D149" s="4" t="s">
        <v>567</v>
      </c>
      <c r="E149" s="4" t="s">
        <v>841</v>
      </c>
      <c r="F149" s="19">
        <v>8.24</v>
      </c>
      <c r="G149" s="19">
        <v>0</v>
      </c>
      <c r="H149" s="19">
        <f>F149*AE149</f>
        <v>0</v>
      </c>
      <c r="I149" s="19">
        <f>J149-H149</f>
        <v>0</v>
      </c>
      <c r="J149" s="19">
        <f>F149*G149</f>
        <v>0</v>
      </c>
      <c r="K149" s="19">
        <v>0.0739</v>
      </c>
      <c r="L149" s="19">
        <f>F149*K149</f>
        <v>0.6089359999999999</v>
      </c>
      <c r="M149" s="32" t="s">
        <v>863</v>
      </c>
      <c r="P149" s="37">
        <f>IF(AG149="5",J149,0)</f>
        <v>0</v>
      </c>
      <c r="R149" s="37">
        <f>IF(AG149="1",H149,0)</f>
        <v>0</v>
      </c>
      <c r="S149" s="37">
        <f>IF(AG149="1",I149,0)</f>
        <v>0</v>
      </c>
      <c r="T149" s="37">
        <f>IF(AG149="7",H149,0)</f>
        <v>0</v>
      </c>
      <c r="U149" s="37">
        <f>IF(AG149="7",I149,0)</f>
        <v>0</v>
      </c>
      <c r="V149" s="37">
        <f>IF(AG149="2",H149,0)</f>
        <v>0</v>
      </c>
      <c r="W149" s="37">
        <f>IF(AG149="2",I149,0)</f>
        <v>0</v>
      </c>
      <c r="X149" s="37">
        <f>IF(AG149="0",J149,0)</f>
        <v>0</v>
      </c>
      <c r="Y149" s="29"/>
      <c r="Z149" s="19">
        <f>IF(AD149=0,J149,0)</f>
        <v>0</v>
      </c>
      <c r="AA149" s="19">
        <f>IF(AD149=15,J149,0)</f>
        <v>0</v>
      </c>
      <c r="AB149" s="19">
        <f>IF(AD149=21,J149,0)</f>
        <v>0</v>
      </c>
      <c r="AD149" s="37">
        <v>21</v>
      </c>
      <c r="AE149" s="37">
        <f>G149*0.165720524017467</f>
        <v>0</v>
      </c>
      <c r="AF149" s="37">
        <f>G149*(1-0.165720524017467)</f>
        <v>0</v>
      </c>
      <c r="AG149" s="32" t="s">
        <v>7</v>
      </c>
      <c r="AM149" s="37">
        <f>F149*AE149</f>
        <v>0</v>
      </c>
      <c r="AN149" s="37">
        <f>F149*AF149</f>
        <v>0</v>
      </c>
      <c r="AO149" s="38" t="s">
        <v>885</v>
      </c>
      <c r="AP149" s="38" t="s">
        <v>917</v>
      </c>
      <c r="AQ149" s="29" t="s">
        <v>926</v>
      </c>
      <c r="AS149" s="37">
        <f>AM149+AN149</f>
        <v>0</v>
      </c>
      <c r="AT149" s="37">
        <f>G149/(100-AU149)*100</f>
        <v>0</v>
      </c>
      <c r="AU149" s="37">
        <v>0</v>
      </c>
      <c r="AV149" s="37">
        <f>L149</f>
        <v>0.6089359999999999</v>
      </c>
    </row>
    <row r="150" spans="4:6" ht="12.75">
      <c r="D150" s="15" t="s">
        <v>568</v>
      </c>
      <c r="F150" s="20">
        <v>8.24</v>
      </c>
    </row>
    <row r="151" spans="1:48" ht="12.75">
      <c r="A151" s="6" t="s">
        <v>65</v>
      </c>
      <c r="B151" s="6"/>
      <c r="C151" s="6" t="s">
        <v>272</v>
      </c>
      <c r="D151" s="6" t="s">
        <v>569</v>
      </c>
      <c r="E151" s="6" t="s">
        <v>841</v>
      </c>
      <c r="F151" s="21">
        <v>8.65</v>
      </c>
      <c r="G151" s="21">
        <v>0</v>
      </c>
      <c r="H151" s="21">
        <f>F151*AE151</f>
        <v>0</v>
      </c>
      <c r="I151" s="21">
        <f>J151-H151</f>
        <v>0</v>
      </c>
      <c r="J151" s="21">
        <f>F151*G151</f>
        <v>0</v>
      </c>
      <c r="K151" s="21">
        <v>0.131</v>
      </c>
      <c r="L151" s="21">
        <f>F151*K151</f>
        <v>1.13315</v>
      </c>
      <c r="M151" s="33" t="s">
        <v>863</v>
      </c>
      <c r="P151" s="37">
        <f>IF(AG151="5",J151,0)</f>
        <v>0</v>
      </c>
      <c r="R151" s="37">
        <f>IF(AG151="1",H151,0)</f>
        <v>0</v>
      </c>
      <c r="S151" s="37">
        <f>IF(AG151="1",I151,0)</f>
        <v>0</v>
      </c>
      <c r="T151" s="37">
        <f>IF(AG151="7",H151,0)</f>
        <v>0</v>
      </c>
      <c r="U151" s="37">
        <f>IF(AG151="7",I151,0)</f>
        <v>0</v>
      </c>
      <c r="V151" s="37">
        <f>IF(AG151="2",H151,0)</f>
        <v>0</v>
      </c>
      <c r="W151" s="37">
        <f>IF(AG151="2",I151,0)</f>
        <v>0</v>
      </c>
      <c r="X151" s="37">
        <f>IF(AG151="0",J151,0)</f>
        <v>0</v>
      </c>
      <c r="Y151" s="29"/>
      <c r="Z151" s="21">
        <f>IF(AD151=0,J151,0)</f>
        <v>0</v>
      </c>
      <c r="AA151" s="21">
        <f>IF(AD151=15,J151,0)</f>
        <v>0</v>
      </c>
      <c r="AB151" s="21">
        <f>IF(AD151=21,J151,0)</f>
        <v>0</v>
      </c>
      <c r="AD151" s="37">
        <v>21</v>
      </c>
      <c r="AE151" s="37">
        <f>G151*1</f>
        <v>0</v>
      </c>
      <c r="AF151" s="37">
        <f>G151*(1-1)</f>
        <v>0</v>
      </c>
      <c r="AG151" s="33" t="s">
        <v>7</v>
      </c>
      <c r="AM151" s="37">
        <f>F151*AE151</f>
        <v>0</v>
      </c>
      <c r="AN151" s="37">
        <f>F151*AF151</f>
        <v>0</v>
      </c>
      <c r="AO151" s="38" t="s">
        <v>885</v>
      </c>
      <c r="AP151" s="38" t="s">
        <v>917</v>
      </c>
      <c r="AQ151" s="29" t="s">
        <v>926</v>
      </c>
      <c r="AS151" s="37">
        <f>AM151+AN151</f>
        <v>0</v>
      </c>
      <c r="AT151" s="37">
        <f>G151/(100-AU151)*100</f>
        <v>0</v>
      </c>
      <c r="AU151" s="37">
        <v>0</v>
      </c>
      <c r="AV151" s="37">
        <f>L151</f>
        <v>1.13315</v>
      </c>
    </row>
    <row r="152" spans="4:6" ht="12.75">
      <c r="D152" s="15" t="s">
        <v>568</v>
      </c>
      <c r="F152" s="20">
        <v>8.24</v>
      </c>
    </row>
    <row r="153" spans="4:6" ht="12.75">
      <c r="D153" s="15" t="s">
        <v>570</v>
      </c>
      <c r="F153" s="20">
        <v>0.41</v>
      </c>
    </row>
    <row r="154" spans="1:48" ht="12.75">
      <c r="A154" s="4" t="s">
        <v>66</v>
      </c>
      <c r="B154" s="4"/>
      <c r="C154" s="4" t="s">
        <v>273</v>
      </c>
      <c r="D154" s="4" t="s">
        <v>571</v>
      </c>
      <c r="E154" s="4" t="s">
        <v>837</v>
      </c>
      <c r="F154" s="19">
        <v>7.5</v>
      </c>
      <c r="G154" s="19">
        <v>0</v>
      </c>
      <c r="H154" s="19">
        <f>F154*AE154</f>
        <v>0</v>
      </c>
      <c r="I154" s="19">
        <f>J154-H154</f>
        <v>0</v>
      </c>
      <c r="J154" s="19">
        <f>F154*G154</f>
        <v>0</v>
      </c>
      <c r="K154" s="19">
        <v>0.00033</v>
      </c>
      <c r="L154" s="19">
        <f>F154*K154</f>
        <v>0.0024749999999999998</v>
      </c>
      <c r="M154" s="32" t="s">
        <v>863</v>
      </c>
      <c r="P154" s="37">
        <f>IF(AG154="5",J154,0)</f>
        <v>0</v>
      </c>
      <c r="R154" s="37">
        <f>IF(AG154="1",H154,0)</f>
        <v>0</v>
      </c>
      <c r="S154" s="37">
        <f>IF(AG154="1",I154,0)</f>
        <v>0</v>
      </c>
      <c r="T154" s="37">
        <f>IF(AG154="7",H154,0)</f>
        <v>0</v>
      </c>
      <c r="U154" s="37">
        <f>IF(AG154="7",I154,0)</f>
        <v>0</v>
      </c>
      <c r="V154" s="37">
        <f>IF(AG154="2",H154,0)</f>
        <v>0</v>
      </c>
      <c r="W154" s="37">
        <f>IF(AG154="2",I154,0)</f>
        <v>0</v>
      </c>
      <c r="X154" s="37">
        <f>IF(AG154="0",J154,0)</f>
        <v>0</v>
      </c>
      <c r="Y154" s="29"/>
      <c r="Z154" s="19">
        <f>IF(AD154=0,J154,0)</f>
        <v>0</v>
      </c>
      <c r="AA154" s="19">
        <f>IF(AD154=15,J154,0)</f>
        <v>0</v>
      </c>
      <c r="AB154" s="19">
        <f>IF(AD154=21,J154,0)</f>
        <v>0</v>
      </c>
      <c r="AD154" s="37">
        <v>21</v>
      </c>
      <c r="AE154" s="37">
        <f>G154*0.0639931740614334</f>
        <v>0</v>
      </c>
      <c r="AF154" s="37">
        <f>G154*(1-0.0639931740614334)</f>
        <v>0</v>
      </c>
      <c r="AG154" s="32" t="s">
        <v>7</v>
      </c>
      <c r="AM154" s="37">
        <f>F154*AE154</f>
        <v>0</v>
      </c>
      <c r="AN154" s="37">
        <f>F154*AF154</f>
        <v>0</v>
      </c>
      <c r="AO154" s="38" t="s">
        <v>885</v>
      </c>
      <c r="AP154" s="38" t="s">
        <v>917</v>
      </c>
      <c r="AQ154" s="29" t="s">
        <v>926</v>
      </c>
      <c r="AS154" s="37">
        <f>AM154+AN154</f>
        <v>0</v>
      </c>
      <c r="AT154" s="37">
        <f>G154/(100-AU154)*100</f>
        <v>0</v>
      </c>
      <c r="AU154" s="37">
        <v>0</v>
      </c>
      <c r="AV154" s="37">
        <f>L154</f>
        <v>0.0024749999999999998</v>
      </c>
    </row>
    <row r="155" spans="4:6" ht="12.75">
      <c r="D155" s="15" t="s">
        <v>572</v>
      </c>
      <c r="F155" s="20">
        <v>7.5</v>
      </c>
    </row>
    <row r="156" spans="1:37" ht="12.75">
      <c r="A156" s="5"/>
      <c r="B156" s="13"/>
      <c r="C156" s="13" t="s">
        <v>66</v>
      </c>
      <c r="D156" s="13" t="s">
        <v>573</v>
      </c>
      <c r="E156" s="5" t="s">
        <v>6</v>
      </c>
      <c r="F156" s="5" t="s">
        <v>6</v>
      </c>
      <c r="G156" s="5" t="s">
        <v>6</v>
      </c>
      <c r="H156" s="40">
        <f>SUM(H157:H159)</f>
        <v>0</v>
      </c>
      <c r="I156" s="40">
        <f>SUM(I157:I159)</f>
        <v>0</v>
      </c>
      <c r="J156" s="40">
        <f>H156+I156</f>
        <v>0</v>
      </c>
      <c r="K156" s="29"/>
      <c r="L156" s="40">
        <f>SUM(L157:L159)</f>
        <v>0.027955199999999996</v>
      </c>
      <c r="M156" s="29"/>
      <c r="Y156" s="29"/>
      <c r="AI156" s="40">
        <f>SUM(Z157:Z159)</f>
        <v>0</v>
      </c>
      <c r="AJ156" s="40">
        <f>SUM(AA157:AA159)</f>
        <v>0</v>
      </c>
      <c r="AK156" s="40">
        <f>SUM(AB157:AB159)</f>
        <v>0</v>
      </c>
    </row>
    <row r="157" spans="1:48" ht="12.75">
      <c r="A157" s="4" t="s">
        <v>67</v>
      </c>
      <c r="B157" s="4"/>
      <c r="C157" s="4" t="s">
        <v>274</v>
      </c>
      <c r="D157" s="4" t="s">
        <v>574</v>
      </c>
      <c r="E157" s="4" t="s">
        <v>841</v>
      </c>
      <c r="F157" s="19">
        <v>8.12</v>
      </c>
      <c r="G157" s="19">
        <v>0</v>
      </c>
      <c r="H157" s="19">
        <f>F157*AE157</f>
        <v>0</v>
      </c>
      <c r="I157" s="19">
        <f>J157-H157</f>
        <v>0</v>
      </c>
      <c r="J157" s="19">
        <f>F157*G157</f>
        <v>0</v>
      </c>
      <c r="K157" s="19">
        <v>0.00276</v>
      </c>
      <c r="L157" s="19">
        <f>F157*K157</f>
        <v>0.022411199999999996</v>
      </c>
      <c r="M157" s="32" t="s">
        <v>864</v>
      </c>
      <c r="P157" s="37">
        <f>IF(AG157="5",J157,0)</f>
        <v>0</v>
      </c>
      <c r="R157" s="37">
        <f>IF(AG157="1",H157,0)</f>
        <v>0</v>
      </c>
      <c r="S157" s="37">
        <f>IF(AG157="1",I157,0)</f>
        <v>0</v>
      </c>
      <c r="T157" s="37">
        <f>IF(AG157="7",H157,0)</f>
        <v>0</v>
      </c>
      <c r="U157" s="37">
        <f>IF(AG157="7",I157,0)</f>
        <v>0</v>
      </c>
      <c r="V157" s="37">
        <f>IF(AG157="2",H157,0)</f>
        <v>0</v>
      </c>
      <c r="W157" s="37">
        <f>IF(AG157="2",I157,0)</f>
        <v>0</v>
      </c>
      <c r="X157" s="37">
        <f>IF(AG157="0",J157,0)</f>
        <v>0</v>
      </c>
      <c r="Y157" s="29"/>
      <c r="Z157" s="19">
        <f>IF(AD157=0,J157,0)</f>
        <v>0</v>
      </c>
      <c r="AA157" s="19">
        <f>IF(AD157=15,J157,0)</f>
        <v>0</v>
      </c>
      <c r="AB157" s="19">
        <f>IF(AD157=21,J157,0)</f>
        <v>0</v>
      </c>
      <c r="AD157" s="37">
        <v>21</v>
      </c>
      <c r="AE157" s="37">
        <f>G157*0.451666666666667</f>
        <v>0</v>
      </c>
      <c r="AF157" s="37">
        <f>G157*(1-0.451666666666667)</f>
        <v>0</v>
      </c>
      <c r="AG157" s="32" t="s">
        <v>7</v>
      </c>
      <c r="AM157" s="37">
        <f>F157*AE157</f>
        <v>0</v>
      </c>
      <c r="AN157" s="37">
        <f>F157*AF157</f>
        <v>0</v>
      </c>
      <c r="AO157" s="38" t="s">
        <v>886</v>
      </c>
      <c r="AP157" s="38" t="s">
        <v>918</v>
      </c>
      <c r="AQ157" s="29" t="s">
        <v>926</v>
      </c>
      <c r="AS157" s="37">
        <f>AM157+AN157</f>
        <v>0</v>
      </c>
      <c r="AT157" s="37">
        <f>G157/(100-AU157)*100</f>
        <v>0</v>
      </c>
      <c r="AU157" s="37">
        <v>0</v>
      </c>
      <c r="AV157" s="37">
        <f>L157</f>
        <v>0.022411199999999996</v>
      </c>
    </row>
    <row r="158" spans="4:6" ht="12.75">
      <c r="D158" s="15" t="s">
        <v>575</v>
      </c>
      <c r="F158" s="20">
        <v>8.12</v>
      </c>
    </row>
    <row r="159" spans="1:48" ht="12.75">
      <c r="A159" s="4" t="s">
        <v>68</v>
      </c>
      <c r="B159" s="4"/>
      <c r="C159" s="4" t="s">
        <v>275</v>
      </c>
      <c r="D159" s="4" t="s">
        <v>576</v>
      </c>
      <c r="E159" s="4" t="s">
        <v>841</v>
      </c>
      <c r="F159" s="19">
        <v>2.4</v>
      </c>
      <c r="G159" s="19">
        <v>0</v>
      </c>
      <c r="H159" s="19">
        <f>F159*AE159</f>
        <v>0</v>
      </c>
      <c r="I159" s="19">
        <f>J159-H159</f>
        <v>0</v>
      </c>
      <c r="J159" s="19">
        <f>F159*G159</f>
        <v>0</v>
      </c>
      <c r="K159" s="19">
        <v>0.00231</v>
      </c>
      <c r="L159" s="19">
        <f>F159*K159</f>
        <v>0.0055439999999999994</v>
      </c>
      <c r="M159" s="32" t="s">
        <v>864</v>
      </c>
      <c r="P159" s="37">
        <f>IF(AG159="5",J159,0)</f>
        <v>0</v>
      </c>
      <c r="R159" s="37">
        <f>IF(AG159="1",H159,0)</f>
        <v>0</v>
      </c>
      <c r="S159" s="37">
        <f>IF(AG159="1",I159,0)</f>
        <v>0</v>
      </c>
      <c r="T159" s="37">
        <f>IF(AG159="7",H159,0)</f>
        <v>0</v>
      </c>
      <c r="U159" s="37">
        <f>IF(AG159="7",I159,0)</f>
        <v>0</v>
      </c>
      <c r="V159" s="37">
        <f>IF(AG159="2",H159,0)</f>
        <v>0</v>
      </c>
      <c r="W159" s="37">
        <f>IF(AG159="2",I159,0)</f>
        <v>0</v>
      </c>
      <c r="X159" s="37">
        <f>IF(AG159="0",J159,0)</f>
        <v>0</v>
      </c>
      <c r="Y159" s="29"/>
      <c r="Z159" s="19">
        <f>IF(AD159=0,J159,0)</f>
        <v>0</v>
      </c>
      <c r="AA159" s="19">
        <f>IF(AD159=15,J159,0)</f>
        <v>0</v>
      </c>
      <c r="AB159" s="19">
        <f>IF(AD159=21,J159,0)</f>
        <v>0</v>
      </c>
      <c r="AD159" s="37">
        <v>21</v>
      </c>
      <c r="AE159" s="37">
        <f>G159*0.491931540342298</f>
        <v>0</v>
      </c>
      <c r="AF159" s="37">
        <f>G159*(1-0.491931540342298)</f>
        <v>0</v>
      </c>
      <c r="AG159" s="32" t="s">
        <v>7</v>
      </c>
      <c r="AM159" s="37">
        <f>F159*AE159</f>
        <v>0</v>
      </c>
      <c r="AN159" s="37">
        <f>F159*AF159</f>
        <v>0</v>
      </c>
      <c r="AO159" s="38" t="s">
        <v>886</v>
      </c>
      <c r="AP159" s="38" t="s">
        <v>918</v>
      </c>
      <c r="AQ159" s="29" t="s">
        <v>926</v>
      </c>
      <c r="AS159" s="37">
        <f>AM159+AN159</f>
        <v>0</v>
      </c>
      <c r="AT159" s="37">
        <f>G159/(100-AU159)*100</f>
        <v>0</v>
      </c>
      <c r="AU159" s="37">
        <v>0</v>
      </c>
      <c r="AV159" s="37">
        <f>L159</f>
        <v>0.0055439999999999994</v>
      </c>
    </row>
    <row r="160" spans="4:6" ht="12.75">
      <c r="D160" s="15" t="s">
        <v>577</v>
      </c>
      <c r="F160" s="20">
        <v>2.4</v>
      </c>
    </row>
    <row r="161" spans="1:37" ht="12.75">
      <c r="A161" s="5"/>
      <c r="B161" s="13"/>
      <c r="C161" s="13" t="s">
        <v>67</v>
      </c>
      <c r="D161" s="13" t="s">
        <v>578</v>
      </c>
      <c r="E161" s="5" t="s">
        <v>6</v>
      </c>
      <c r="F161" s="5" t="s">
        <v>6</v>
      </c>
      <c r="G161" s="5" t="s">
        <v>6</v>
      </c>
      <c r="H161" s="40">
        <f>SUM(H162:H164)</f>
        <v>0</v>
      </c>
      <c r="I161" s="40">
        <f>SUM(I162:I164)</f>
        <v>0</v>
      </c>
      <c r="J161" s="40">
        <f>H161+I161</f>
        <v>0</v>
      </c>
      <c r="K161" s="29"/>
      <c r="L161" s="40">
        <f>SUM(L162:L164)</f>
        <v>1.7689229000000002</v>
      </c>
      <c r="M161" s="29"/>
      <c r="Y161" s="29"/>
      <c r="AI161" s="40">
        <f>SUM(Z162:Z164)</f>
        <v>0</v>
      </c>
      <c r="AJ161" s="40">
        <f>SUM(AA162:AA164)</f>
        <v>0</v>
      </c>
      <c r="AK161" s="40">
        <f>SUM(AB162:AB164)</f>
        <v>0</v>
      </c>
    </row>
    <row r="162" spans="1:48" ht="12.75">
      <c r="A162" s="4" t="s">
        <v>69</v>
      </c>
      <c r="B162" s="4"/>
      <c r="C162" s="4" t="s">
        <v>276</v>
      </c>
      <c r="D162" s="4" t="s">
        <v>579</v>
      </c>
      <c r="E162" s="4" t="s">
        <v>841</v>
      </c>
      <c r="F162" s="19">
        <v>8.35</v>
      </c>
      <c r="G162" s="19">
        <v>0</v>
      </c>
      <c r="H162" s="19">
        <f>F162*AE162</f>
        <v>0</v>
      </c>
      <c r="I162" s="19">
        <f>J162-H162</f>
        <v>0</v>
      </c>
      <c r="J162" s="19">
        <f>F162*G162</f>
        <v>0</v>
      </c>
      <c r="K162" s="19">
        <v>0.05123</v>
      </c>
      <c r="L162" s="19">
        <f>F162*K162</f>
        <v>0.42777049999999994</v>
      </c>
      <c r="M162" s="32" t="s">
        <v>863</v>
      </c>
      <c r="P162" s="37">
        <f>IF(AG162="5",J162,0)</f>
        <v>0</v>
      </c>
      <c r="R162" s="37">
        <f>IF(AG162="1",H162,0)</f>
        <v>0</v>
      </c>
      <c r="S162" s="37">
        <f>IF(AG162="1",I162,0)</f>
        <v>0</v>
      </c>
      <c r="T162" s="37">
        <f>IF(AG162="7",H162,0)</f>
        <v>0</v>
      </c>
      <c r="U162" s="37">
        <f>IF(AG162="7",I162,0)</f>
        <v>0</v>
      </c>
      <c r="V162" s="37">
        <f>IF(AG162="2",H162,0)</f>
        <v>0</v>
      </c>
      <c r="W162" s="37">
        <f>IF(AG162="2",I162,0)</f>
        <v>0</v>
      </c>
      <c r="X162" s="37">
        <f>IF(AG162="0",J162,0)</f>
        <v>0</v>
      </c>
      <c r="Y162" s="29"/>
      <c r="Z162" s="19">
        <f>IF(AD162=0,J162,0)</f>
        <v>0</v>
      </c>
      <c r="AA162" s="19">
        <f>IF(AD162=15,J162,0)</f>
        <v>0</v>
      </c>
      <c r="AB162" s="19">
        <f>IF(AD162=21,J162,0)</f>
        <v>0</v>
      </c>
      <c r="AD162" s="37">
        <v>21</v>
      </c>
      <c r="AE162" s="37">
        <f>G162*0.170050202696942</f>
        <v>0</v>
      </c>
      <c r="AF162" s="37">
        <f>G162*(1-0.170050202696942)</f>
        <v>0</v>
      </c>
      <c r="AG162" s="32" t="s">
        <v>7</v>
      </c>
      <c r="AM162" s="37">
        <f>F162*AE162</f>
        <v>0</v>
      </c>
      <c r="AN162" s="37">
        <f>F162*AF162</f>
        <v>0</v>
      </c>
      <c r="AO162" s="38" t="s">
        <v>887</v>
      </c>
      <c r="AP162" s="38" t="s">
        <v>918</v>
      </c>
      <c r="AQ162" s="29" t="s">
        <v>926</v>
      </c>
      <c r="AS162" s="37">
        <f>AM162+AN162</f>
        <v>0</v>
      </c>
      <c r="AT162" s="37">
        <f>G162/(100-AU162)*100</f>
        <v>0</v>
      </c>
      <c r="AU162" s="37">
        <v>0</v>
      </c>
      <c r="AV162" s="37">
        <f>L162</f>
        <v>0.42777049999999994</v>
      </c>
    </row>
    <row r="163" spans="4:6" ht="12.75">
      <c r="D163" s="15" t="s">
        <v>580</v>
      </c>
      <c r="F163" s="20">
        <v>8.35</v>
      </c>
    </row>
    <row r="164" spans="1:48" ht="12.75">
      <c r="A164" s="4" t="s">
        <v>70</v>
      </c>
      <c r="B164" s="4"/>
      <c r="C164" s="4" t="s">
        <v>277</v>
      </c>
      <c r="D164" s="4" t="s">
        <v>581</v>
      </c>
      <c r="E164" s="4" t="s">
        <v>841</v>
      </c>
      <c r="F164" s="19">
        <v>28.14</v>
      </c>
      <c r="G164" s="19">
        <v>0</v>
      </c>
      <c r="H164" s="19">
        <f>F164*AE164</f>
        <v>0</v>
      </c>
      <c r="I164" s="19">
        <f>J164-H164</f>
        <v>0</v>
      </c>
      <c r="J164" s="19">
        <f>F164*G164</f>
        <v>0</v>
      </c>
      <c r="K164" s="19">
        <v>0.04766</v>
      </c>
      <c r="L164" s="19">
        <f>F164*K164</f>
        <v>1.3411524000000001</v>
      </c>
      <c r="M164" s="32" t="s">
        <v>863</v>
      </c>
      <c r="P164" s="37">
        <f>IF(AG164="5",J164,0)</f>
        <v>0</v>
      </c>
      <c r="R164" s="37">
        <f>IF(AG164="1",H164,0)</f>
        <v>0</v>
      </c>
      <c r="S164" s="37">
        <f>IF(AG164="1",I164,0)</f>
        <v>0</v>
      </c>
      <c r="T164" s="37">
        <f>IF(AG164="7",H164,0)</f>
        <v>0</v>
      </c>
      <c r="U164" s="37">
        <f>IF(AG164="7",I164,0)</f>
        <v>0</v>
      </c>
      <c r="V164" s="37">
        <f>IF(AG164="2",H164,0)</f>
        <v>0</v>
      </c>
      <c r="W164" s="37">
        <f>IF(AG164="2",I164,0)</f>
        <v>0</v>
      </c>
      <c r="X164" s="37">
        <f>IF(AG164="0",J164,0)</f>
        <v>0</v>
      </c>
      <c r="Y164" s="29"/>
      <c r="Z164" s="19">
        <f>IF(AD164=0,J164,0)</f>
        <v>0</v>
      </c>
      <c r="AA164" s="19">
        <f>IF(AD164=15,J164,0)</f>
        <v>0</v>
      </c>
      <c r="AB164" s="19">
        <f>IF(AD164=21,J164,0)</f>
        <v>0</v>
      </c>
      <c r="AD164" s="37">
        <v>21</v>
      </c>
      <c r="AE164" s="37">
        <f>G164*0.13624810892587</f>
        <v>0</v>
      </c>
      <c r="AF164" s="37">
        <f>G164*(1-0.13624810892587)</f>
        <v>0</v>
      </c>
      <c r="AG164" s="32" t="s">
        <v>7</v>
      </c>
      <c r="AM164" s="37">
        <f>F164*AE164</f>
        <v>0</v>
      </c>
      <c r="AN164" s="37">
        <f>F164*AF164</f>
        <v>0</v>
      </c>
      <c r="AO164" s="38" t="s">
        <v>887</v>
      </c>
      <c r="AP164" s="38" t="s">
        <v>918</v>
      </c>
      <c r="AQ164" s="29" t="s">
        <v>926</v>
      </c>
      <c r="AS164" s="37">
        <f>AM164+AN164</f>
        <v>0</v>
      </c>
      <c r="AT164" s="37">
        <f>G164/(100-AU164)*100</f>
        <v>0</v>
      </c>
      <c r="AU164" s="37">
        <v>0</v>
      </c>
      <c r="AV164" s="37">
        <f>L164</f>
        <v>1.3411524000000001</v>
      </c>
    </row>
    <row r="165" spans="4:6" ht="12.75">
      <c r="D165" s="15" t="s">
        <v>582</v>
      </c>
      <c r="F165" s="20">
        <v>17.66</v>
      </c>
    </row>
    <row r="166" spans="4:6" ht="12.75">
      <c r="D166" s="15" t="s">
        <v>583</v>
      </c>
      <c r="F166" s="20">
        <v>-4.11</v>
      </c>
    </row>
    <row r="167" spans="4:6" ht="12.75">
      <c r="D167" s="15" t="s">
        <v>584</v>
      </c>
      <c r="F167" s="20">
        <v>2.91</v>
      </c>
    </row>
    <row r="168" spans="4:6" ht="12.75">
      <c r="D168" s="15" t="s">
        <v>585</v>
      </c>
      <c r="F168" s="20">
        <v>17.95</v>
      </c>
    </row>
    <row r="169" spans="4:6" ht="12.75">
      <c r="D169" s="15" t="s">
        <v>586</v>
      </c>
      <c r="F169" s="20">
        <v>-8.85</v>
      </c>
    </row>
    <row r="170" spans="4:6" ht="12.75">
      <c r="D170" s="15" t="s">
        <v>587</v>
      </c>
      <c r="F170" s="20">
        <v>2.58</v>
      </c>
    </row>
    <row r="171" spans="1:37" ht="12.75">
      <c r="A171" s="5"/>
      <c r="B171" s="13"/>
      <c r="C171" s="13" t="s">
        <v>68</v>
      </c>
      <c r="D171" s="13" t="s">
        <v>588</v>
      </c>
      <c r="E171" s="5" t="s">
        <v>6</v>
      </c>
      <c r="F171" s="5" t="s">
        <v>6</v>
      </c>
      <c r="G171" s="5" t="s">
        <v>6</v>
      </c>
      <c r="H171" s="40">
        <f>SUM(H172:H195)</f>
        <v>0</v>
      </c>
      <c r="I171" s="40">
        <f>SUM(I172:I195)</f>
        <v>0</v>
      </c>
      <c r="J171" s="40">
        <f>H171+I171</f>
        <v>0</v>
      </c>
      <c r="K171" s="29"/>
      <c r="L171" s="40">
        <f>SUM(L172:L195)</f>
        <v>0.5887685</v>
      </c>
      <c r="M171" s="29"/>
      <c r="Y171" s="29"/>
      <c r="AI171" s="40">
        <f>SUM(Z172:Z195)</f>
        <v>0</v>
      </c>
      <c r="AJ171" s="40">
        <f>SUM(AA172:AA195)</f>
        <v>0</v>
      </c>
      <c r="AK171" s="40">
        <f>SUM(AB172:AB195)</f>
        <v>0</v>
      </c>
    </row>
    <row r="172" spans="1:48" ht="12.75">
      <c r="A172" s="4" t="s">
        <v>71</v>
      </c>
      <c r="B172" s="4"/>
      <c r="C172" s="4" t="s">
        <v>278</v>
      </c>
      <c r="D172" s="4" t="s">
        <v>589</v>
      </c>
      <c r="E172" s="4" t="s">
        <v>841</v>
      </c>
      <c r="F172" s="19">
        <v>8.12</v>
      </c>
      <c r="G172" s="19">
        <v>0</v>
      </c>
      <c r="H172" s="19">
        <f>F172*AE172</f>
        <v>0</v>
      </c>
      <c r="I172" s="19">
        <f>J172-H172</f>
        <v>0</v>
      </c>
      <c r="J172" s="19">
        <f>F172*G172</f>
        <v>0</v>
      </c>
      <c r="K172" s="19">
        <v>0.00367</v>
      </c>
      <c r="L172" s="19">
        <f>F172*K172</f>
        <v>0.029800399999999998</v>
      </c>
      <c r="M172" s="32" t="s">
        <v>863</v>
      </c>
      <c r="P172" s="37">
        <f>IF(AG172="5",J172,0)</f>
        <v>0</v>
      </c>
      <c r="R172" s="37">
        <f>IF(AG172="1",H172,0)</f>
        <v>0</v>
      </c>
      <c r="S172" s="37">
        <f>IF(AG172="1",I172,0)</f>
        <v>0</v>
      </c>
      <c r="T172" s="37">
        <f>IF(AG172="7",H172,0)</f>
        <v>0</v>
      </c>
      <c r="U172" s="37">
        <f>IF(AG172="7",I172,0)</f>
        <v>0</v>
      </c>
      <c r="V172" s="37">
        <f>IF(AG172="2",H172,0)</f>
        <v>0</v>
      </c>
      <c r="W172" s="37">
        <f>IF(AG172="2",I172,0)</f>
        <v>0</v>
      </c>
      <c r="X172" s="37">
        <f>IF(AG172="0",J172,0)</f>
        <v>0</v>
      </c>
      <c r="Y172" s="29"/>
      <c r="Z172" s="19">
        <f>IF(AD172=0,J172,0)</f>
        <v>0</v>
      </c>
      <c r="AA172" s="19">
        <f>IF(AD172=15,J172,0)</f>
        <v>0</v>
      </c>
      <c r="AB172" s="19">
        <f>IF(AD172=21,J172,0)</f>
        <v>0</v>
      </c>
      <c r="AD172" s="37">
        <v>21</v>
      </c>
      <c r="AE172" s="37">
        <f>G172*0.219035123657257</f>
        <v>0</v>
      </c>
      <c r="AF172" s="37">
        <f>G172*(1-0.219035123657257)</f>
        <v>0</v>
      </c>
      <c r="AG172" s="32" t="s">
        <v>7</v>
      </c>
      <c r="AM172" s="37">
        <f>F172*AE172</f>
        <v>0</v>
      </c>
      <c r="AN172" s="37">
        <f>F172*AF172</f>
        <v>0</v>
      </c>
      <c r="AO172" s="38" t="s">
        <v>888</v>
      </c>
      <c r="AP172" s="38" t="s">
        <v>918</v>
      </c>
      <c r="AQ172" s="29" t="s">
        <v>926</v>
      </c>
      <c r="AS172" s="37">
        <f>AM172+AN172</f>
        <v>0</v>
      </c>
      <c r="AT172" s="37">
        <f>G172/(100-AU172)*100</f>
        <v>0</v>
      </c>
      <c r="AU172" s="37">
        <v>0</v>
      </c>
      <c r="AV172" s="37">
        <f>L172</f>
        <v>0.029800399999999998</v>
      </c>
    </row>
    <row r="173" ht="12.75">
      <c r="D173" s="16" t="s">
        <v>590</v>
      </c>
    </row>
    <row r="174" spans="4:6" ht="12.75">
      <c r="D174" s="15" t="s">
        <v>575</v>
      </c>
      <c r="F174" s="20">
        <v>8.12</v>
      </c>
    </row>
    <row r="175" spans="1:48" ht="12.75">
      <c r="A175" s="4" t="s">
        <v>72</v>
      </c>
      <c r="B175" s="4"/>
      <c r="C175" s="4" t="s">
        <v>279</v>
      </c>
      <c r="D175" s="4" t="s">
        <v>591</v>
      </c>
      <c r="E175" s="4" t="s">
        <v>841</v>
      </c>
      <c r="F175" s="19">
        <v>24.64</v>
      </c>
      <c r="G175" s="19">
        <v>0</v>
      </c>
      <c r="H175" s="19">
        <f>F175*AE175</f>
        <v>0</v>
      </c>
      <c r="I175" s="19">
        <f>J175-H175</f>
        <v>0</v>
      </c>
      <c r="J175" s="19">
        <f>F175*G175</f>
        <v>0</v>
      </c>
      <c r="K175" s="19">
        <v>0.01277</v>
      </c>
      <c r="L175" s="19">
        <f>F175*K175</f>
        <v>0.3146528</v>
      </c>
      <c r="M175" s="32" t="s">
        <v>863</v>
      </c>
      <c r="P175" s="37">
        <f>IF(AG175="5",J175,0)</f>
        <v>0</v>
      </c>
      <c r="R175" s="37">
        <f>IF(AG175="1",H175,0)</f>
        <v>0</v>
      </c>
      <c r="S175" s="37">
        <f>IF(AG175="1",I175,0)</f>
        <v>0</v>
      </c>
      <c r="T175" s="37">
        <f>IF(AG175="7",H175,0)</f>
        <v>0</v>
      </c>
      <c r="U175" s="37">
        <f>IF(AG175="7",I175,0)</f>
        <v>0</v>
      </c>
      <c r="V175" s="37">
        <f>IF(AG175="2",H175,0)</f>
        <v>0</v>
      </c>
      <c r="W175" s="37">
        <f>IF(AG175="2",I175,0)</f>
        <v>0</v>
      </c>
      <c r="X175" s="37">
        <f>IF(AG175="0",J175,0)</f>
        <v>0</v>
      </c>
      <c r="Y175" s="29"/>
      <c r="Z175" s="19">
        <f>IF(AD175=0,J175,0)</f>
        <v>0</v>
      </c>
      <c r="AA175" s="19">
        <f>IF(AD175=15,J175,0)</f>
        <v>0</v>
      </c>
      <c r="AB175" s="19">
        <f>IF(AD175=21,J175,0)</f>
        <v>0</v>
      </c>
      <c r="AD175" s="37">
        <v>21</v>
      </c>
      <c r="AE175" s="37">
        <f>G175*0.429557522123894</f>
        <v>0</v>
      </c>
      <c r="AF175" s="37">
        <f>G175*(1-0.429557522123894)</f>
        <v>0</v>
      </c>
      <c r="AG175" s="32" t="s">
        <v>7</v>
      </c>
      <c r="AM175" s="37">
        <f>F175*AE175</f>
        <v>0</v>
      </c>
      <c r="AN175" s="37">
        <f>F175*AF175</f>
        <v>0</v>
      </c>
      <c r="AO175" s="38" t="s">
        <v>888</v>
      </c>
      <c r="AP175" s="38" t="s">
        <v>918</v>
      </c>
      <c r="AQ175" s="29" t="s">
        <v>926</v>
      </c>
      <c r="AS175" s="37">
        <f>AM175+AN175</f>
        <v>0</v>
      </c>
      <c r="AT175" s="37">
        <f>G175/(100-AU175)*100</f>
        <v>0</v>
      </c>
      <c r="AU175" s="37">
        <v>0</v>
      </c>
      <c r="AV175" s="37">
        <f>L175</f>
        <v>0.3146528</v>
      </c>
    </row>
    <row r="176" spans="4:6" ht="12.75">
      <c r="D176" s="15" t="s">
        <v>592</v>
      </c>
      <c r="F176" s="20">
        <v>38.61</v>
      </c>
    </row>
    <row r="177" spans="4:6" ht="12.75">
      <c r="D177" s="15" t="s">
        <v>593</v>
      </c>
      <c r="F177" s="20">
        <v>-13.97</v>
      </c>
    </row>
    <row r="178" spans="1:48" ht="12.75">
      <c r="A178" s="4" t="s">
        <v>73</v>
      </c>
      <c r="B178" s="4"/>
      <c r="C178" s="4" t="s">
        <v>280</v>
      </c>
      <c r="D178" s="4" t="s">
        <v>594</v>
      </c>
      <c r="E178" s="4" t="s">
        <v>841</v>
      </c>
      <c r="F178" s="19">
        <v>3.27</v>
      </c>
      <c r="G178" s="19">
        <v>0</v>
      </c>
      <c r="H178" s="19">
        <f>F178*AE178</f>
        <v>0</v>
      </c>
      <c r="I178" s="19">
        <f>J178-H178</f>
        <v>0</v>
      </c>
      <c r="J178" s="19">
        <f>F178*G178</f>
        <v>0</v>
      </c>
      <c r="K178" s="19">
        <v>0.01022</v>
      </c>
      <c r="L178" s="19">
        <f>F178*K178</f>
        <v>0.0334194</v>
      </c>
      <c r="M178" s="32" t="s">
        <v>863</v>
      </c>
      <c r="P178" s="37">
        <f>IF(AG178="5",J178,0)</f>
        <v>0</v>
      </c>
      <c r="R178" s="37">
        <f>IF(AG178="1",H178,0)</f>
        <v>0</v>
      </c>
      <c r="S178" s="37">
        <f>IF(AG178="1",I178,0)</f>
        <v>0</v>
      </c>
      <c r="T178" s="37">
        <f>IF(AG178="7",H178,0)</f>
        <v>0</v>
      </c>
      <c r="U178" s="37">
        <f>IF(AG178="7",I178,0)</f>
        <v>0</v>
      </c>
      <c r="V178" s="37">
        <f>IF(AG178="2",H178,0)</f>
        <v>0</v>
      </c>
      <c r="W178" s="37">
        <f>IF(AG178="2",I178,0)</f>
        <v>0</v>
      </c>
      <c r="X178" s="37">
        <f>IF(AG178="0",J178,0)</f>
        <v>0</v>
      </c>
      <c r="Y178" s="29"/>
      <c r="Z178" s="19">
        <f>IF(AD178=0,J178,0)</f>
        <v>0</v>
      </c>
      <c r="AA178" s="19">
        <f>IF(AD178=15,J178,0)</f>
        <v>0</v>
      </c>
      <c r="AB178" s="19">
        <f>IF(AD178=21,J178,0)</f>
        <v>0</v>
      </c>
      <c r="AD178" s="37">
        <v>21</v>
      </c>
      <c r="AE178" s="37">
        <f>G178*0.399899799599198</f>
        <v>0</v>
      </c>
      <c r="AF178" s="37">
        <f>G178*(1-0.399899799599198)</f>
        <v>0</v>
      </c>
      <c r="AG178" s="32" t="s">
        <v>7</v>
      </c>
      <c r="AM178" s="37">
        <f>F178*AE178</f>
        <v>0</v>
      </c>
      <c r="AN178" s="37">
        <f>F178*AF178</f>
        <v>0</v>
      </c>
      <c r="AO178" s="38" t="s">
        <v>888</v>
      </c>
      <c r="AP178" s="38" t="s">
        <v>918</v>
      </c>
      <c r="AQ178" s="29" t="s">
        <v>926</v>
      </c>
      <c r="AS178" s="37">
        <f>AM178+AN178</f>
        <v>0</v>
      </c>
      <c r="AT178" s="37">
        <f>G178/(100-AU178)*100</f>
        <v>0</v>
      </c>
      <c r="AU178" s="37">
        <v>0</v>
      </c>
      <c r="AV178" s="37">
        <f>L178</f>
        <v>0.0334194</v>
      </c>
    </row>
    <row r="179" ht="12.75">
      <c r="D179" s="16" t="s">
        <v>595</v>
      </c>
    </row>
    <row r="180" spans="4:6" ht="12.75">
      <c r="D180" s="15" t="s">
        <v>596</v>
      </c>
      <c r="F180" s="20">
        <v>3.27</v>
      </c>
    </row>
    <row r="181" spans="1:48" ht="12.75">
      <c r="A181" s="4" t="s">
        <v>74</v>
      </c>
      <c r="B181" s="4"/>
      <c r="C181" s="4" t="s">
        <v>281</v>
      </c>
      <c r="D181" s="4" t="s">
        <v>597</v>
      </c>
      <c r="E181" s="4" t="s">
        <v>841</v>
      </c>
      <c r="F181" s="19">
        <v>5.73</v>
      </c>
      <c r="G181" s="19">
        <v>0</v>
      </c>
      <c r="H181" s="19">
        <f>F181*AE181</f>
        <v>0</v>
      </c>
      <c r="I181" s="19">
        <f>J181-H181</f>
        <v>0</v>
      </c>
      <c r="J181" s="19">
        <f>F181*G181</f>
        <v>0</v>
      </c>
      <c r="K181" s="19">
        <v>0.013</v>
      </c>
      <c r="L181" s="19">
        <f>F181*K181</f>
        <v>0.07449</v>
      </c>
      <c r="M181" s="32" t="s">
        <v>863</v>
      </c>
      <c r="P181" s="37">
        <f>IF(AG181="5",J181,0)</f>
        <v>0</v>
      </c>
      <c r="R181" s="37">
        <f>IF(AG181="1",H181,0)</f>
        <v>0</v>
      </c>
      <c r="S181" s="37">
        <f>IF(AG181="1",I181,0)</f>
        <v>0</v>
      </c>
      <c r="T181" s="37">
        <f>IF(AG181="7",H181,0)</f>
        <v>0</v>
      </c>
      <c r="U181" s="37">
        <f>IF(AG181="7",I181,0)</f>
        <v>0</v>
      </c>
      <c r="V181" s="37">
        <f>IF(AG181="2",H181,0)</f>
        <v>0</v>
      </c>
      <c r="W181" s="37">
        <f>IF(AG181="2",I181,0)</f>
        <v>0</v>
      </c>
      <c r="X181" s="37">
        <f>IF(AG181="0",J181,0)</f>
        <v>0</v>
      </c>
      <c r="Y181" s="29"/>
      <c r="Z181" s="19">
        <f>IF(AD181=0,J181,0)</f>
        <v>0</v>
      </c>
      <c r="AA181" s="19">
        <f>IF(AD181=15,J181,0)</f>
        <v>0</v>
      </c>
      <c r="AB181" s="19">
        <f>IF(AD181=21,J181,0)</f>
        <v>0</v>
      </c>
      <c r="AD181" s="37">
        <v>21</v>
      </c>
      <c r="AE181" s="37">
        <f>G181*0.291000599161174</f>
        <v>0</v>
      </c>
      <c r="AF181" s="37">
        <f>G181*(1-0.291000599161174)</f>
        <v>0</v>
      </c>
      <c r="AG181" s="32" t="s">
        <v>7</v>
      </c>
      <c r="AM181" s="37">
        <f>F181*AE181</f>
        <v>0</v>
      </c>
      <c r="AN181" s="37">
        <f>F181*AF181</f>
        <v>0</v>
      </c>
      <c r="AO181" s="38" t="s">
        <v>888</v>
      </c>
      <c r="AP181" s="38" t="s">
        <v>918</v>
      </c>
      <c r="AQ181" s="29" t="s">
        <v>926</v>
      </c>
      <c r="AS181" s="37">
        <f>AM181+AN181</f>
        <v>0</v>
      </c>
      <c r="AT181" s="37">
        <f>G181/(100-AU181)*100</f>
        <v>0</v>
      </c>
      <c r="AU181" s="37">
        <v>0</v>
      </c>
      <c r="AV181" s="37">
        <f>L181</f>
        <v>0.07449</v>
      </c>
    </row>
    <row r="182" ht="12.75">
      <c r="D182" s="16" t="s">
        <v>595</v>
      </c>
    </row>
    <row r="183" spans="4:6" ht="12.75">
      <c r="D183" s="15" t="s">
        <v>598</v>
      </c>
      <c r="F183" s="20">
        <v>1.26</v>
      </c>
    </row>
    <row r="184" spans="4:6" ht="12.75">
      <c r="D184" s="15" t="s">
        <v>599</v>
      </c>
      <c r="F184" s="20">
        <v>2.43</v>
      </c>
    </row>
    <row r="185" spans="4:6" ht="12.75">
      <c r="D185" s="15" t="s">
        <v>600</v>
      </c>
      <c r="F185" s="20">
        <v>2.04</v>
      </c>
    </row>
    <row r="186" spans="1:48" ht="12.75">
      <c r="A186" s="4" t="s">
        <v>75</v>
      </c>
      <c r="B186" s="4"/>
      <c r="C186" s="4" t="s">
        <v>282</v>
      </c>
      <c r="D186" s="4" t="s">
        <v>601</v>
      </c>
      <c r="E186" s="4" t="s">
        <v>841</v>
      </c>
      <c r="F186" s="19">
        <v>1.29</v>
      </c>
      <c r="G186" s="19">
        <v>0</v>
      </c>
      <c r="H186" s="19">
        <f>F186*AE186</f>
        <v>0</v>
      </c>
      <c r="I186" s="19">
        <f>J186-H186</f>
        <v>0</v>
      </c>
      <c r="J186" s="19">
        <f>F186*G186</f>
        <v>0</v>
      </c>
      <c r="K186" s="19">
        <v>0.00687</v>
      </c>
      <c r="L186" s="19">
        <f>F186*K186</f>
        <v>0.0088623</v>
      </c>
      <c r="M186" s="32" t="s">
        <v>863</v>
      </c>
      <c r="P186" s="37">
        <f>IF(AG186="5",J186,0)</f>
        <v>0</v>
      </c>
      <c r="R186" s="37">
        <f>IF(AG186="1",H186,0)</f>
        <v>0</v>
      </c>
      <c r="S186" s="37">
        <f>IF(AG186="1",I186,0)</f>
        <v>0</v>
      </c>
      <c r="T186" s="37">
        <f>IF(AG186="7",H186,0)</f>
        <v>0</v>
      </c>
      <c r="U186" s="37">
        <f>IF(AG186="7",I186,0)</f>
        <v>0</v>
      </c>
      <c r="V186" s="37">
        <f>IF(AG186="2",H186,0)</f>
        <v>0</v>
      </c>
      <c r="W186" s="37">
        <f>IF(AG186="2",I186,0)</f>
        <v>0</v>
      </c>
      <c r="X186" s="37">
        <f>IF(AG186="0",J186,0)</f>
        <v>0</v>
      </c>
      <c r="Y186" s="29"/>
      <c r="Z186" s="19">
        <f>IF(AD186=0,J186,0)</f>
        <v>0</v>
      </c>
      <c r="AA186" s="19">
        <f>IF(AD186=15,J186,0)</f>
        <v>0</v>
      </c>
      <c r="AB186" s="19">
        <f>IF(AD186=21,J186,0)</f>
        <v>0</v>
      </c>
      <c r="AD186" s="37">
        <v>21</v>
      </c>
      <c r="AE186" s="37">
        <f>G186*0.404878244313057</f>
        <v>0</v>
      </c>
      <c r="AF186" s="37">
        <f>G186*(1-0.404878244313057)</f>
        <v>0</v>
      </c>
      <c r="AG186" s="32" t="s">
        <v>7</v>
      </c>
      <c r="AM186" s="37">
        <f>F186*AE186</f>
        <v>0</v>
      </c>
      <c r="AN186" s="37">
        <f>F186*AF186</f>
        <v>0</v>
      </c>
      <c r="AO186" s="38" t="s">
        <v>888</v>
      </c>
      <c r="AP186" s="38" t="s">
        <v>918</v>
      </c>
      <c r="AQ186" s="29" t="s">
        <v>926</v>
      </c>
      <c r="AS186" s="37">
        <f>AM186+AN186</f>
        <v>0</v>
      </c>
      <c r="AT186" s="37">
        <f>G186/(100-AU186)*100</f>
        <v>0</v>
      </c>
      <c r="AU186" s="37">
        <v>0</v>
      </c>
      <c r="AV186" s="37">
        <f>L186</f>
        <v>0.0088623</v>
      </c>
    </row>
    <row r="187" ht="12.75">
      <c r="D187" s="16" t="s">
        <v>602</v>
      </c>
    </row>
    <row r="188" spans="4:6" ht="12.75">
      <c r="D188" s="15" t="s">
        <v>603</v>
      </c>
      <c r="F188" s="20">
        <v>1.29</v>
      </c>
    </row>
    <row r="189" spans="1:48" ht="12.75">
      <c r="A189" s="4" t="s">
        <v>76</v>
      </c>
      <c r="B189" s="4"/>
      <c r="C189" s="4" t="s">
        <v>283</v>
      </c>
      <c r="D189" s="4" t="s">
        <v>604</v>
      </c>
      <c r="E189" s="4" t="s">
        <v>841</v>
      </c>
      <c r="F189" s="19">
        <v>2.02</v>
      </c>
      <c r="G189" s="19">
        <v>0</v>
      </c>
      <c r="H189" s="19">
        <f>F189*AE189</f>
        <v>0</v>
      </c>
      <c r="I189" s="19">
        <f>J189-H189</f>
        <v>0</v>
      </c>
      <c r="J189" s="19">
        <f>F189*G189</f>
        <v>0</v>
      </c>
      <c r="K189" s="19">
        <v>0.01445</v>
      </c>
      <c r="L189" s="19">
        <f>F189*K189</f>
        <v>0.029189</v>
      </c>
      <c r="M189" s="32" t="s">
        <v>863</v>
      </c>
      <c r="P189" s="37">
        <f>IF(AG189="5",J189,0)</f>
        <v>0</v>
      </c>
      <c r="R189" s="37">
        <f>IF(AG189="1",H189,0)</f>
        <v>0</v>
      </c>
      <c r="S189" s="37">
        <f>IF(AG189="1",I189,0)</f>
        <v>0</v>
      </c>
      <c r="T189" s="37">
        <f>IF(AG189="7",H189,0)</f>
        <v>0</v>
      </c>
      <c r="U189" s="37">
        <f>IF(AG189="7",I189,0)</f>
        <v>0</v>
      </c>
      <c r="V189" s="37">
        <f>IF(AG189="2",H189,0)</f>
        <v>0</v>
      </c>
      <c r="W189" s="37">
        <f>IF(AG189="2",I189,0)</f>
        <v>0</v>
      </c>
      <c r="X189" s="37">
        <f>IF(AG189="0",J189,0)</f>
        <v>0</v>
      </c>
      <c r="Y189" s="29"/>
      <c r="Z189" s="19">
        <f>IF(AD189=0,J189,0)</f>
        <v>0</v>
      </c>
      <c r="AA189" s="19">
        <f>IF(AD189=15,J189,0)</f>
        <v>0</v>
      </c>
      <c r="AB189" s="19">
        <f>IF(AD189=21,J189,0)</f>
        <v>0</v>
      </c>
      <c r="AD189" s="37">
        <v>21</v>
      </c>
      <c r="AE189" s="37">
        <f>G189*0.551192341166232</f>
        <v>0</v>
      </c>
      <c r="AF189" s="37">
        <f>G189*(1-0.551192341166232)</f>
        <v>0</v>
      </c>
      <c r="AG189" s="32" t="s">
        <v>7</v>
      </c>
      <c r="AM189" s="37">
        <f>F189*AE189</f>
        <v>0</v>
      </c>
      <c r="AN189" s="37">
        <f>F189*AF189</f>
        <v>0</v>
      </c>
      <c r="AO189" s="38" t="s">
        <v>888</v>
      </c>
      <c r="AP189" s="38" t="s">
        <v>918</v>
      </c>
      <c r="AQ189" s="29" t="s">
        <v>926</v>
      </c>
      <c r="AS189" s="37">
        <f>AM189+AN189</f>
        <v>0</v>
      </c>
      <c r="AT189" s="37">
        <f>G189/(100-AU189)*100</f>
        <v>0</v>
      </c>
      <c r="AU189" s="37">
        <v>0</v>
      </c>
      <c r="AV189" s="37">
        <f>L189</f>
        <v>0.029189</v>
      </c>
    </row>
    <row r="190" ht="12.75">
      <c r="D190" s="16" t="s">
        <v>605</v>
      </c>
    </row>
    <row r="191" spans="4:6" ht="12.75">
      <c r="D191" s="15" t="s">
        <v>606</v>
      </c>
      <c r="F191" s="20">
        <v>2.02</v>
      </c>
    </row>
    <row r="192" spans="1:48" ht="12.75">
      <c r="A192" s="4" t="s">
        <v>77</v>
      </c>
      <c r="B192" s="4"/>
      <c r="C192" s="4" t="s">
        <v>284</v>
      </c>
      <c r="D192" s="4" t="s">
        <v>604</v>
      </c>
      <c r="E192" s="4" t="s">
        <v>841</v>
      </c>
      <c r="F192" s="19">
        <v>8.06</v>
      </c>
      <c r="G192" s="19">
        <v>0</v>
      </c>
      <c r="H192" s="19">
        <f>F192*AE192</f>
        <v>0</v>
      </c>
      <c r="I192" s="19">
        <f>J192-H192</f>
        <v>0</v>
      </c>
      <c r="J192" s="19">
        <f>F192*G192</f>
        <v>0</v>
      </c>
      <c r="K192" s="19">
        <v>0.01111</v>
      </c>
      <c r="L192" s="19">
        <f>F192*K192</f>
        <v>0.0895466</v>
      </c>
      <c r="M192" s="32" t="s">
        <v>863</v>
      </c>
      <c r="P192" s="37">
        <f>IF(AG192="5",J192,0)</f>
        <v>0</v>
      </c>
      <c r="R192" s="37">
        <f>IF(AG192="1",H192,0)</f>
        <v>0</v>
      </c>
      <c r="S192" s="37">
        <f>IF(AG192="1",I192,0)</f>
        <v>0</v>
      </c>
      <c r="T192" s="37">
        <f>IF(AG192="7",H192,0)</f>
        <v>0</v>
      </c>
      <c r="U192" s="37">
        <f>IF(AG192="7",I192,0)</f>
        <v>0</v>
      </c>
      <c r="V192" s="37">
        <f>IF(AG192="2",H192,0)</f>
        <v>0</v>
      </c>
      <c r="W192" s="37">
        <f>IF(AG192="2",I192,0)</f>
        <v>0</v>
      </c>
      <c r="X192" s="37">
        <f>IF(AG192="0",J192,0)</f>
        <v>0</v>
      </c>
      <c r="Y192" s="29"/>
      <c r="Z192" s="19">
        <f>IF(AD192=0,J192,0)</f>
        <v>0</v>
      </c>
      <c r="AA192" s="19">
        <f>IF(AD192=15,J192,0)</f>
        <v>0</v>
      </c>
      <c r="AB192" s="19">
        <f>IF(AD192=21,J192,0)</f>
        <v>0</v>
      </c>
      <c r="AD192" s="37">
        <v>21</v>
      </c>
      <c r="AE192" s="37">
        <f>G192*0.585740291262136</f>
        <v>0</v>
      </c>
      <c r="AF192" s="37">
        <f>G192*(1-0.585740291262136)</f>
        <v>0</v>
      </c>
      <c r="AG192" s="32" t="s">
        <v>7</v>
      </c>
      <c r="AM192" s="37">
        <f>F192*AE192</f>
        <v>0</v>
      </c>
      <c r="AN192" s="37">
        <f>F192*AF192</f>
        <v>0</v>
      </c>
      <c r="AO192" s="38" t="s">
        <v>888</v>
      </c>
      <c r="AP192" s="38" t="s">
        <v>918</v>
      </c>
      <c r="AQ192" s="29" t="s">
        <v>926</v>
      </c>
      <c r="AS192" s="37">
        <f>AM192+AN192</f>
        <v>0</v>
      </c>
      <c r="AT192" s="37">
        <f>G192/(100-AU192)*100</f>
        <v>0</v>
      </c>
      <c r="AU192" s="37">
        <v>0</v>
      </c>
      <c r="AV192" s="37">
        <f>L192</f>
        <v>0.0895466</v>
      </c>
    </row>
    <row r="193" ht="12.75">
      <c r="D193" s="16" t="s">
        <v>607</v>
      </c>
    </row>
    <row r="194" spans="4:6" ht="12.75">
      <c r="D194" s="15" t="s">
        <v>608</v>
      </c>
      <c r="F194" s="20">
        <v>8.06</v>
      </c>
    </row>
    <row r="195" spans="1:48" ht="12.75">
      <c r="A195" s="4" t="s">
        <v>78</v>
      </c>
      <c r="B195" s="4"/>
      <c r="C195" s="4" t="s">
        <v>285</v>
      </c>
      <c r="D195" s="4" t="s">
        <v>609</v>
      </c>
      <c r="E195" s="4" t="s">
        <v>841</v>
      </c>
      <c r="F195" s="19">
        <v>2.4</v>
      </c>
      <c r="G195" s="19">
        <v>0</v>
      </c>
      <c r="H195" s="19">
        <f>F195*AE195</f>
        <v>0</v>
      </c>
      <c r="I195" s="19">
        <f>J195-H195</f>
        <v>0</v>
      </c>
      <c r="J195" s="19">
        <f>F195*G195</f>
        <v>0</v>
      </c>
      <c r="K195" s="19">
        <v>0.00367</v>
      </c>
      <c r="L195" s="19">
        <f>F195*K195</f>
        <v>0.008808</v>
      </c>
      <c r="M195" s="32" t="s">
        <v>863</v>
      </c>
      <c r="P195" s="37">
        <f>IF(AG195="5",J195,0)</f>
        <v>0</v>
      </c>
      <c r="R195" s="37">
        <f>IF(AG195="1",H195,0)</f>
        <v>0</v>
      </c>
      <c r="S195" s="37">
        <f>IF(AG195="1",I195,0)</f>
        <v>0</v>
      </c>
      <c r="T195" s="37">
        <f>IF(AG195="7",H195,0)</f>
        <v>0</v>
      </c>
      <c r="U195" s="37">
        <f>IF(AG195="7",I195,0)</f>
        <v>0</v>
      </c>
      <c r="V195" s="37">
        <f>IF(AG195="2",H195,0)</f>
        <v>0</v>
      </c>
      <c r="W195" s="37">
        <f>IF(AG195="2",I195,0)</f>
        <v>0</v>
      </c>
      <c r="X195" s="37">
        <f>IF(AG195="0",J195,0)</f>
        <v>0</v>
      </c>
      <c r="Y195" s="29"/>
      <c r="Z195" s="19">
        <f>IF(AD195=0,J195,0)</f>
        <v>0</v>
      </c>
      <c r="AA195" s="19">
        <f>IF(AD195=15,J195,0)</f>
        <v>0</v>
      </c>
      <c r="AB195" s="19">
        <f>IF(AD195=21,J195,0)</f>
        <v>0</v>
      </c>
      <c r="AD195" s="37">
        <v>21</v>
      </c>
      <c r="AE195" s="37">
        <f>G195*0.257095238095238</f>
        <v>0</v>
      </c>
      <c r="AF195" s="37">
        <f>G195*(1-0.257095238095238)</f>
        <v>0</v>
      </c>
      <c r="AG195" s="32" t="s">
        <v>7</v>
      </c>
      <c r="AM195" s="37">
        <f>F195*AE195</f>
        <v>0</v>
      </c>
      <c r="AN195" s="37">
        <f>F195*AF195</f>
        <v>0</v>
      </c>
      <c r="AO195" s="38" t="s">
        <v>888</v>
      </c>
      <c r="AP195" s="38" t="s">
        <v>918</v>
      </c>
      <c r="AQ195" s="29" t="s">
        <v>926</v>
      </c>
      <c r="AS195" s="37">
        <f>AM195+AN195</f>
        <v>0</v>
      </c>
      <c r="AT195" s="37">
        <f>G195/(100-AU195)*100</f>
        <v>0</v>
      </c>
      <c r="AU195" s="37">
        <v>0</v>
      </c>
      <c r="AV195" s="37">
        <f>L195</f>
        <v>0.008808</v>
      </c>
    </row>
    <row r="196" ht="12.75">
      <c r="D196" s="16" t="s">
        <v>590</v>
      </c>
    </row>
    <row r="197" spans="4:6" ht="12.75">
      <c r="D197" s="15" t="s">
        <v>610</v>
      </c>
      <c r="F197" s="20">
        <v>2.4</v>
      </c>
    </row>
    <row r="198" spans="1:37" ht="12.75">
      <c r="A198" s="5"/>
      <c r="B198" s="13"/>
      <c r="C198" s="13" t="s">
        <v>69</v>
      </c>
      <c r="D198" s="13" t="s">
        <v>611</v>
      </c>
      <c r="E198" s="5" t="s">
        <v>6</v>
      </c>
      <c r="F198" s="5" t="s">
        <v>6</v>
      </c>
      <c r="G198" s="5" t="s">
        <v>6</v>
      </c>
      <c r="H198" s="40">
        <f>SUM(H199:H209)</f>
        <v>0</v>
      </c>
      <c r="I198" s="40">
        <f>SUM(I199:I209)</f>
        <v>0</v>
      </c>
      <c r="J198" s="40">
        <f>H198+I198</f>
        <v>0</v>
      </c>
      <c r="K198" s="29"/>
      <c r="L198" s="40">
        <f>SUM(L199:L209)</f>
        <v>2.1384815</v>
      </c>
      <c r="M198" s="29"/>
      <c r="Y198" s="29"/>
      <c r="AI198" s="40">
        <f>SUM(Z199:Z209)</f>
        <v>0</v>
      </c>
      <c r="AJ198" s="40">
        <f>SUM(AA199:AA209)</f>
        <v>0</v>
      </c>
      <c r="AK198" s="40">
        <f>SUM(AB199:AB209)</f>
        <v>0</v>
      </c>
    </row>
    <row r="199" spans="1:48" ht="12.75">
      <c r="A199" s="4" t="s">
        <v>79</v>
      </c>
      <c r="B199" s="4"/>
      <c r="C199" s="4" t="s">
        <v>286</v>
      </c>
      <c r="D199" s="4" t="s">
        <v>612</v>
      </c>
      <c r="E199" s="4" t="s">
        <v>838</v>
      </c>
      <c r="F199" s="19">
        <v>0.28</v>
      </c>
      <c r="G199" s="19">
        <v>0</v>
      </c>
      <c r="H199" s="19">
        <f>F199*AE199</f>
        <v>0</v>
      </c>
      <c r="I199" s="19">
        <f>J199-H199</f>
        <v>0</v>
      </c>
      <c r="J199" s="19">
        <f>F199*G199</f>
        <v>0</v>
      </c>
      <c r="K199" s="19">
        <v>2.525</v>
      </c>
      <c r="L199" s="19">
        <f>F199*K199</f>
        <v>0.7070000000000001</v>
      </c>
      <c r="M199" s="32" t="s">
        <v>863</v>
      </c>
      <c r="P199" s="37">
        <f>IF(AG199="5",J199,0)</f>
        <v>0</v>
      </c>
      <c r="R199" s="37">
        <f>IF(AG199="1",H199,0)</f>
        <v>0</v>
      </c>
      <c r="S199" s="37">
        <f>IF(AG199="1",I199,0)</f>
        <v>0</v>
      </c>
      <c r="T199" s="37">
        <f>IF(AG199="7",H199,0)</f>
        <v>0</v>
      </c>
      <c r="U199" s="37">
        <f>IF(AG199="7",I199,0)</f>
        <v>0</v>
      </c>
      <c r="V199" s="37">
        <f>IF(AG199="2",H199,0)</f>
        <v>0</v>
      </c>
      <c r="W199" s="37">
        <f>IF(AG199="2",I199,0)</f>
        <v>0</v>
      </c>
      <c r="X199" s="37">
        <f>IF(AG199="0",J199,0)</f>
        <v>0</v>
      </c>
      <c r="Y199" s="29"/>
      <c r="Z199" s="19">
        <f>IF(AD199=0,J199,0)</f>
        <v>0</v>
      </c>
      <c r="AA199" s="19">
        <f>IF(AD199=15,J199,0)</f>
        <v>0</v>
      </c>
      <c r="AB199" s="19">
        <f>IF(AD199=21,J199,0)</f>
        <v>0</v>
      </c>
      <c r="AD199" s="37">
        <v>21</v>
      </c>
      <c r="AE199" s="37">
        <f>G199*0.669763277693475</f>
        <v>0</v>
      </c>
      <c r="AF199" s="37">
        <f>G199*(1-0.669763277693475)</f>
        <v>0</v>
      </c>
      <c r="AG199" s="32" t="s">
        <v>7</v>
      </c>
      <c r="AM199" s="37">
        <f>F199*AE199</f>
        <v>0</v>
      </c>
      <c r="AN199" s="37">
        <f>F199*AF199</f>
        <v>0</v>
      </c>
      <c r="AO199" s="38" t="s">
        <v>889</v>
      </c>
      <c r="AP199" s="38" t="s">
        <v>918</v>
      </c>
      <c r="AQ199" s="29" t="s">
        <v>926</v>
      </c>
      <c r="AS199" s="37">
        <f>AM199+AN199</f>
        <v>0</v>
      </c>
      <c r="AT199" s="37">
        <f>G199/(100-AU199)*100</f>
        <v>0</v>
      </c>
      <c r="AU199" s="37">
        <v>0</v>
      </c>
      <c r="AV199" s="37">
        <f>L199</f>
        <v>0.7070000000000001</v>
      </c>
    </row>
    <row r="200" spans="4:6" ht="12.75">
      <c r="D200" s="15" t="s">
        <v>613</v>
      </c>
      <c r="F200" s="20">
        <v>0.28</v>
      </c>
    </row>
    <row r="201" spans="1:48" ht="12.75">
      <c r="A201" s="4" t="s">
        <v>80</v>
      </c>
      <c r="B201" s="4"/>
      <c r="C201" s="4" t="s">
        <v>287</v>
      </c>
      <c r="D201" s="4" t="s">
        <v>614</v>
      </c>
      <c r="E201" s="4" t="s">
        <v>838</v>
      </c>
      <c r="F201" s="19">
        <v>0.28</v>
      </c>
      <c r="G201" s="19">
        <v>0</v>
      </c>
      <c r="H201" s="19">
        <f>F201*AE201</f>
        <v>0</v>
      </c>
      <c r="I201" s="19">
        <f>J201-H201</f>
        <v>0</v>
      </c>
      <c r="J201" s="19">
        <f>F201*G201</f>
        <v>0</v>
      </c>
      <c r="K201" s="19">
        <v>0.04</v>
      </c>
      <c r="L201" s="19">
        <f>F201*K201</f>
        <v>0.011200000000000002</v>
      </c>
      <c r="M201" s="32" t="s">
        <v>863</v>
      </c>
      <c r="P201" s="37">
        <f>IF(AG201="5",J201,0)</f>
        <v>0</v>
      </c>
      <c r="R201" s="37">
        <f>IF(AG201="1",H201,0)</f>
        <v>0</v>
      </c>
      <c r="S201" s="37">
        <f>IF(AG201="1",I201,0)</f>
        <v>0</v>
      </c>
      <c r="T201" s="37">
        <f>IF(AG201="7",H201,0)</f>
        <v>0</v>
      </c>
      <c r="U201" s="37">
        <f>IF(AG201="7",I201,0)</f>
        <v>0</v>
      </c>
      <c r="V201" s="37">
        <f>IF(AG201="2",H201,0)</f>
        <v>0</v>
      </c>
      <c r="W201" s="37">
        <f>IF(AG201="2",I201,0)</f>
        <v>0</v>
      </c>
      <c r="X201" s="37">
        <f>IF(AG201="0",J201,0)</f>
        <v>0</v>
      </c>
      <c r="Y201" s="29"/>
      <c r="Z201" s="19">
        <f>IF(AD201=0,J201,0)</f>
        <v>0</v>
      </c>
      <c r="AA201" s="19">
        <f>IF(AD201=15,J201,0)</f>
        <v>0</v>
      </c>
      <c r="AB201" s="19">
        <f>IF(AD201=21,J201,0)</f>
        <v>0</v>
      </c>
      <c r="AD201" s="37">
        <v>21</v>
      </c>
      <c r="AE201" s="37">
        <f>G201*0.0972522897585346</f>
        <v>0</v>
      </c>
      <c r="AF201" s="37">
        <f>G201*(1-0.0972522897585346)</f>
        <v>0</v>
      </c>
      <c r="AG201" s="32" t="s">
        <v>7</v>
      </c>
      <c r="AM201" s="37">
        <f>F201*AE201</f>
        <v>0</v>
      </c>
      <c r="AN201" s="37">
        <f>F201*AF201</f>
        <v>0</v>
      </c>
      <c r="AO201" s="38" t="s">
        <v>889</v>
      </c>
      <c r="AP201" s="38" t="s">
        <v>918</v>
      </c>
      <c r="AQ201" s="29" t="s">
        <v>926</v>
      </c>
      <c r="AS201" s="37">
        <f>AM201+AN201</f>
        <v>0</v>
      </c>
      <c r="AT201" s="37">
        <f>G201/(100-AU201)*100</f>
        <v>0</v>
      </c>
      <c r="AU201" s="37">
        <v>0</v>
      </c>
      <c r="AV201" s="37">
        <f>L201</f>
        <v>0.011200000000000002</v>
      </c>
    </row>
    <row r="202" spans="4:6" ht="12.75">
      <c r="D202" s="15" t="s">
        <v>615</v>
      </c>
      <c r="F202" s="20">
        <v>0.28</v>
      </c>
    </row>
    <row r="203" spans="1:48" ht="12.75">
      <c r="A203" s="4" t="s">
        <v>81</v>
      </c>
      <c r="B203" s="4"/>
      <c r="C203" s="4" t="s">
        <v>288</v>
      </c>
      <c r="D203" s="4" t="s">
        <v>616</v>
      </c>
      <c r="E203" s="4" t="s">
        <v>838</v>
      </c>
      <c r="F203" s="19">
        <v>0.28</v>
      </c>
      <c r="G203" s="19">
        <v>0</v>
      </c>
      <c r="H203" s="19">
        <f>F203*AE203</f>
        <v>0</v>
      </c>
      <c r="I203" s="19">
        <f>J203-H203</f>
        <v>0</v>
      </c>
      <c r="J203" s="19">
        <f>F203*G203</f>
        <v>0</v>
      </c>
      <c r="K203" s="19">
        <v>0</v>
      </c>
      <c r="L203" s="19">
        <f>F203*K203</f>
        <v>0</v>
      </c>
      <c r="M203" s="32" t="s">
        <v>863</v>
      </c>
      <c r="P203" s="37">
        <f>IF(AG203="5",J203,0)</f>
        <v>0</v>
      </c>
      <c r="R203" s="37">
        <f>IF(AG203="1",H203,0)</f>
        <v>0</v>
      </c>
      <c r="S203" s="37">
        <f>IF(AG203="1",I203,0)</f>
        <v>0</v>
      </c>
      <c r="T203" s="37">
        <f>IF(AG203="7",H203,0)</f>
        <v>0</v>
      </c>
      <c r="U203" s="37">
        <f>IF(AG203="7",I203,0)</f>
        <v>0</v>
      </c>
      <c r="V203" s="37">
        <f>IF(AG203="2",H203,0)</f>
        <v>0</v>
      </c>
      <c r="W203" s="37">
        <f>IF(AG203="2",I203,0)</f>
        <v>0</v>
      </c>
      <c r="X203" s="37">
        <f>IF(AG203="0",J203,0)</f>
        <v>0</v>
      </c>
      <c r="Y203" s="29"/>
      <c r="Z203" s="19">
        <f>IF(AD203=0,J203,0)</f>
        <v>0</v>
      </c>
      <c r="AA203" s="19">
        <f>IF(AD203=15,J203,0)</f>
        <v>0</v>
      </c>
      <c r="AB203" s="19">
        <f>IF(AD203=21,J203,0)</f>
        <v>0</v>
      </c>
      <c r="AD203" s="37">
        <v>21</v>
      </c>
      <c r="AE203" s="37">
        <f>G203*0</f>
        <v>0</v>
      </c>
      <c r="AF203" s="37">
        <f>G203*(1-0)</f>
        <v>0</v>
      </c>
      <c r="AG203" s="32" t="s">
        <v>7</v>
      </c>
      <c r="AM203" s="37">
        <f>F203*AE203</f>
        <v>0</v>
      </c>
      <c r="AN203" s="37">
        <f>F203*AF203</f>
        <v>0</v>
      </c>
      <c r="AO203" s="38" t="s">
        <v>889</v>
      </c>
      <c r="AP203" s="38" t="s">
        <v>918</v>
      </c>
      <c r="AQ203" s="29" t="s">
        <v>926</v>
      </c>
      <c r="AS203" s="37">
        <f>AM203+AN203</f>
        <v>0</v>
      </c>
      <c r="AT203" s="37">
        <f>G203/(100-AU203)*100</f>
        <v>0</v>
      </c>
      <c r="AU203" s="37">
        <v>0</v>
      </c>
      <c r="AV203" s="37">
        <f>L203</f>
        <v>0</v>
      </c>
    </row>
    <row r="204" spans="1:48" ht="12.75">
      <c r="A204" s="4" t="s">
        <v>82</v>
      </c>
      <c r="B204" s="4"/>
      <c r="C204" s="4" t="s">
        <v>289</v>
      </c>
      <c r="D204" s="4" t="s">
        <v>617</v>
      </c>
      <c r="E204" s="4" t="s">
        <v>840</v>
      </c>
      <c r="F204" s="19">
        <v>0.01</v>
      </c>
      <c r="G204" s="19">
        <v>0</v>
      </c>
      <c r="H204" s="19">
        <f>F204*AE204</f>
        <v>0</v>
      </c>
      <c r="I204" s="19">
        <f>J204-H204</f>
        <v>0</v>
      </c>
      <c r="J204" s="19">
        <f>F204*G204</f>
        <v>0</v>
      </c>
      <c r="K204" s="19">
        <v>1.06625</v>
      </c>
      <c r="L204" s="19">
        <f>F204*K204</f>
        <v>0.0106625</v>
      </c>
      <c r="M204" s="32" t="s">
        <v>863</v>
      </c>
      <c r="P204" s="37">
        <f>IF(AG204="5",J204,0)</f>
        <v>0</v>
      </c>
      <c r="R204" s="37">
        <f>IF(AG204="1",H204,0)</f>
        <v>0</v>
      </c>
      <c r="S204" s="37">
        <f>IF(AG204="1",I204,0)</f>
        <v>0</v>
      </c>
      <c r="T204" s="37">
        <f>IF(AG204="7",H204,0)</f>
        <v>0</v>
      </c>
      <c r="U204" s="37">
        <f>IF(AG204="7",I204,0)</f>
        <v>0</v>
      </c>
      <c r="V204" s="37">
        <f>IF(AG204="2",H204,0)</f>
        <v>0</v>
      </c>
      <c r="W204" s="37">
        <f>IF(AG204="2",I204,0)</f>
        <v>0</v>
      </c>
      <c r="X204" s="37">
        <f>IF(AG204="0",J204,0)</f>
        <v>0</v>
      </c>
      <c r="Y204" s="29"/>
      <c r="Z204" s="19">
        <f>IF(AD204=0,J204,0)</f>
        <v>0</v>
      </c>
      <c r="AA204" s="19">
        <f>IF(AD204=15,J204,0)</f>
        <v>0</v>
      </c>
      <c r="AB204" s="19">
        <f>IF(AD204=21,J204,0)</f>
        <v>0</v>
      </c>
      <c r="AD204" s="37">
        <v>21</v>
      </c>
      <c r="AE204" s="37">
        <f>G204*0.813983399938518</f>
        <v>0</v>
      </c>
      <c r="AF204" s="37">
        <f>G204*(1-0.813983399938518)</f>
        <v>0</v>
      </c>
      <c r="AG204" s="32" t="s">
        <v>7</v>
      </c>
      <c r="AM204" s="37">
        <f>F204*AE204</f>
        <v>0</v>
      </c>
      <c r="AN204" s="37">
        <f>F204*AF204</f>
        <v>0</v>
      </c>
      <c r="AO204" s="38" t="s">
        <v>889</v>
      </c>
      <c r="AP204" s="38" t="s">
        <v>918</v>
      </c>
      <c r="AQ204" s="29" t="s">
        <v>926</v>
      </c>
      <c r="AS204" s="37">
        <f>AM204+AN204</f>
        <v>0</v>
      </c>
      <c r="AT204" s="37">
        <f>G204/(100-AU204)*100</f>
        <v>0</v>
      </c>
      <c r="AU204" s="37">
        <v>0</v>
      </c>
      <c r="AV204" s="37">
        <f>L204</f>
        <v>0.0106625</v>
      </c>
    </row>
    <row r="205" ht="12.75">
      <c r="D205" s="16" t="s">
        <v>470</v>
      </c>
    </row>
    <row r="206" spans="4:6" ht="12.75">
      <c r="D206" s="15" t="s">
        <v>618</v>
      </c>
      <c r="F206" s="20">
        <v>0.01</v>
      </c>
    </row>
    <row r="207" spans="1:48" ht="12.75">
      <c r="A207" s="4" t="s">
        <v>83</v>
      </c>
      <c r="B207" s="4"/>
      <c r="C207" s="4" t="s">
        <v>290</v>
      </c>
      <c r="D207" s="4" t="s">
        <v>619</v>
      </c>
      <c r="E207" s="4" t="s">
        <v>841</v>
      </c>
      <c r="F207" s="19">
        <v>8.35</v>
      </c>
      <c r="G207" s="19">
        <v>0</v>
      </c>
      <c r="H207" s="19">
        <f>F207*AE207</f>
        <v>0</v>
      </c>
      <c r="I207" s="19">
        <f>J207-H207</f>
        <v>0</v>
      </c>
      <c r="J207" s="19">
        <f>F207*G207</f>
        <v>0</v>
      </c>
      <c r="K207" s="19">
        <v>0.00714</v>
      </c>
      <c r="L207" s="19">
        <f>F207*K207</f>
        <v>0.05961899999999999</v>
      </c>
      <c r="M207" s="32" t="s">
        <v>863</v>
      </c>
      <c r="P207" s="37">
        <f>IF(AG207="5",J207,0)</f>
        <v>0</v>
      </c>
      <c r="R207" s="37">
        <f>IF(AG207="1",H207,0)</f>
        <v>0</v>
      </c>
      <c r="S207" s="37">
        <f>IF(AG207="1",I207,0)</f>
        <v>0</v>
      </c>
      <c r="T207" s="37">
        <f>IF(AG207="7",H207,0)</f>
        <v>0</v>
      </c>
      <c r="U207" s="37">
        <f>IF(AG207="7",I207,0)</f>
        <v>0</v>
      </c>
      <c r="V207" s="37">
        <f>IF(AG207="2",H207,0)</f>
        <v>0</v>
      </c>
      <c r="W207" s="37">
        <f>IF(AG207="2",I207,0)</f>
        <v>0</v>
      </c>
      <c r="X207" s="37">
        <f>IF(AG207="0",J207,0)</f>
        <v>0</v>
      </c>
      <c r="Y207" s="29"/>
      <c r="Z207" s="19">
        <f>IF(AD207=0,J207,0)</f>
        <v>0</v>
      </c>
      <c r="AA207" s="19">
        <f>IF(AD207=15,J207,0)</f>
        <v>0</v>
      </c>
      <c r="AB207" s="19">
        <f>IF(AD207=21,J207,0)</f>
        <v>0</v>
      </c>
      <c r="AD207" s="37">
        <v>21</v>
      </c>
      <c r="AE207" s="37">
        <f>G207*0.58641975308642</f>
        <v>0</v>
      </c>
      <c r="AF207" s="37">
        <f>G207*(1-0.58641975308642)</f>
        <v>0</v>
      </c>
      <c r="AG207" s="32" t="s">
        <v>7</v>
      </c>
      <c r="AM207" s="37">
        <f>F207*AE207</f>
        <v>0</v>
      </c>
      <c r="AN207" s="37">
        <f>F207*AF207</f>
        <v>0</v>
      </c>
      <c r="AO207" s="38" t="s">
        <v>889</v>
      </c>
      <c r="AP207" s="38" t="s">
        <v>918</v>
      </c>
      <c r="AQ207" s="29" t="s">
        <v>926</v>
      </c>
      <c r="AS207" s="37">
        <f>AM207+AN207</f>
        <v>0</v>
      </c>
      <c r="AT207" s="37">
        <f>G207/(100-AU207)*100</f>
        <v>0</v>
      </c>
      <c r="AU207" s="37">
        <v>0</v>
      </c>
      <c r="AV207" s="37">
        <f>L207</f>
        <v>0.05961899999999999</v>
      </c>
    </row>
    <row r="208" spans="4:6" ht="12.75">
      <c r="D208" s="15" t="s">
        <v>580</v>
      </c>
      <c r="F208" s="20">
        <v>8.35</v>
      </c>
    </row>
    <row r="209" spans="1:48" ht="12.75">
      <c r="A209" s="4" t="s">
        <v>84</v>
      </c>
      <c r="B209" s="4"/>
      <c r="C209" s="4" t="s">
        <v>291</v>
      </c>
      <c r="D209" s="4" t="s">
        <v>620</v>
      </c>
      <c r="E209" s="4" t="s">
        <v>838</v>
      </c>
      <c r="F209" s="19">
        <v>0.54</v>
      </c>
      <c r="G209" s="19">
        <v>0</v>
      </c>
      <c r="H209" s="19">
        <f>F209*AE209</f>
        <v>0</v>
      </c>
      <c r="I209" s="19">
        <f>J209-H209</f>
        <v>0</v>
      </c>
      <c r="J209" s="19">
        <f>F209*G209</f>
        <v>0</v>
      </c>
      <c r="K209" s="19">
        <v>2.5</v>
      </c>
      <c r="L209" s="19">
        <f>F209*K209</f>
        <v>1.35</v>
      </c>
      <c r="M209" s="32" t="s">
        <v>863</v>
      </c>
      <c r="P209" s="37">
        <f>IF(AG209="5",J209,0)</f>
        <v>0</v>
      </c>
      <c r="R209" s="37">
        <f>IF(AG209="1",H209,0)</f>
        <v>0</v>
      </c>
      <c r="S209" s="37">
        <f>IF(AG209="1",I209,0)</f>
        <v>0</v>
      </c>
      <c r="T209" s="37">
        <f>IF(AG209="7",H209,0)</f>
        <v>0</v>
      </c>
      <c r="U209" s="37">
        <f>IF(AG209="7",I209,0)</f>
        <v>0</v>
      </c>
      <c r="V209" s="37">
        <f>IF(AG209="2",H209,0)</f>
        <v>0</v>
      </c>
      <c r="W209" s="37">
        <f>IF(AG209="2",I209,0)</f>
        <v>0</v>
      </c>
      <c r="X209" s="37">
        <f>IF(AG209="0",J209,0)</f>
        <v>0</v>
      </c>
      <c r="Y209" s="29"/>
      <c r="Z209" s="19">
        <f>IF(AD209=0,J209,0)</f>
        <v>0</v>
      </c>
      <c r="AA209" s="19">
        <f>IF(AD209=15,J209,0)</f>
        <v>0</v>
      </c>
      <c r="AB209" s="19">
        <f>IF(AD209=21,J209,0)</f>
        <v>0</v>
      </c>
      <c r="AD209" s="37">
        <v>21</v>
      </c>
      <c r="AE209" s="37">
        <f>G209*0.487455295735901</f>
        <v>0</v>
      </c>
      <c r="AF209" s="37">
        <f>G209*(1-0.487455295735901)</f>
        <v>0</v>
      </c>
      <c r="AG209" s="32" t="s">
        <v>7</v>
      </c>
      <c r="AM209" s="37">
        <f>F209*AE209</f>
        <v>0</v>
      </c>
      <c r="AN209" s="37">
        <f>F209*AF209</f>
        <v>0</v>
      </c>
      <c r="AO209" s="38" t="s">
        <v>889</v>
      </c>
      <c r="AP209" s="38" t="s">
        <v>918</v>
      </c>
      <c r="AQ209" s="29" t="s">
        <v>926</v>
      </c>
      <c r="AS209" s="37">
        <f>AM209+AN209</f>
        <v>0</v>
      </c>
      <c r="AT209" s="37">
        <f>G209/(100-AU209)*100</f>
        <v>0</v>
      </c>
      <c r="AU209" s="37">
        <v>0</v>
      </c>
      <c r="AV209" s="37">
        <f>L209</f>
        <v>1.35</v>
      </c>
    </row>
    <row r="210" spans="4:6" ht="12.75">
      <c r="D210" s="15" t="s">
        <v>621</v>
      </c>
      <c r="F210" s="20">
        <v>0.54</v>
      </c>
    </row>
    <row r="211" spans="1:37" ht="12.75">
      <c r="A211" s="5"/>
      <c r="B211" s="13"/>
      <c r="C211" s="13" t="s">
        <v>70</v>
      </c>
      <c r="D211" s="13" t="s">
        <v>622</v>
      </c>
      <c r="E211" s="5" t="s">
        <v>6</v>
      </c>
      <c r="F211" s="5" t="s">
        <v>6</v>
      </c>
      <c r="G211" s="5" t="s">
        <v>6</v>
      </c>
      <c r="H211" s="40">
        <f>SUM(H212:H215)</f>
        <v>0</v>
      </c>
      <c r="I211" s="40">
        <f>SUM(I212:I215)</f>
        <v>0</v>
      </c>
      <c r="J211" s="40">
        <f>H211+I211</f>
        <v>0</v>
      </c>
      <c r="K211" s="29"/>
      <c r="L211" s="40">
        <f>SUM(L212:L215)</f>
        <v>0.01897</v>
      </c>
      <c r="M211" s="29"/>
      <c r="Y211" s="29"/>
      <c r="AI211" s="40">
        <f>SUM(Z212:Z215)</f>
        <v>0</v>
      </c>
      <c r="AJ211" s="40">
        <f>SUM(AA212:AA215)</f>
        <v>0</v>
      </c>
      <c r="AK211" s="40">
        <f>SUM(AB212:AB215)</f>
        <v>0</v>
      </c>
    </row>
    <row r="212" spans="1:48" ht="12.75">
      <c r="A212" s="4" t="s">
        <v>85</v>
      </c>
      <c r="B212" s="4"/>
      <c r="C212" s="4" t="s">
        <v>292</v>
      </c>
      <c r="D212" s="4" t="s">
        <v>623</v>
      </c>
      <c r="E212" s="4" t="s">
        <v>837</v>
      </c>
      <c r="F212" s="19">
        <v>36.48</v>
      </c>
      <c r="G212" s="19">
        <v>0</v>
      </c>
      <c r="H212" s="19">
        <f>F212*AE212</f>
        <v>0</v>
      </c>
      <c r="I212" s="19">
        <f>J212-H212</f>
        <v>0</v>
      </c>
      <c r="J212" s="19">
        <f>F212*G212</f>
        <v>0</v>
      </c>
      <c r="K212" s="19">
        <v>0</v>
      </c>
      <c r="L212" s="19">
        <f>F212*K212</f>
        <v>0</v>
      </c>
      <c r="M212" s="32" t="s">
        <v>863</v>
      </c>
      <c r="P212" s="37">
        <f>IF(AG212="5",J212,0)</f>
        <v>0</v>
      </c>
      <c r="R212" s="37">
        <f>IF(AG212="1",H212,0)</f>
        <v>0</v>
      </c>
      <c r="S212" s="37">
        <f>IF(AG212="1",I212,0)</f>
        <v>0</v>
      </c>
      <c r="T212" s="37">
        <f>IF(AG212="7",H212,0)</f>
        <v>0</v>
      </c>
      <c r="U212" s="37">
        <f>IF(AG212="7",I212,0)</f>
        <v>0</v>
      </c>
      <c r="V212" s="37">
        <f>IF(AG212="2",H212,0)</f>
        <v>0</v>
      </c>
      <c r="W212" s="37">
        <f>IF(AG212="2",I212,0)</f>
        <v>0</v>
      </c>
      <c r="X212" s="37">
        <f>IF(AG212="0",J212,0)</f>
        <v>0</v>
      </c>
      <c r="Y212" s="29"/>
      <c r="Z212" s="19">
        <f>IF(AD212=0,J212,0)</f>
        <v>0</v>
      </c>
      <c r="AA212" s="19">
        <f>IF(AD212=15,J212,0)</f>
        <v>0</v>
      </c>
      <c r="AB212" s="19">
        <f>IF(AD212=21,J212,0)</f>
        <v>0</v>
      </c>
      <c r="AD212" s="37">
        <v>21</v>
      </c>
      <c r="AE212" s="37">
        <f>G212*0.159057591623037</f>
        <v>0</v>
      </c>
      <c r="AF212" s="37">
        <f>G212*(1-0.159057591623037)</f>
        <v>0</v>
      </c>
      <c r="AG212" s="32" t="s">
        <v>7</v>
      </c>
      <c r="AM212" s="37">
        <f>F212*AE212</f>
        <v>0</v>
      </c>
      <c r="AN212" s="37">
        <f>F212*AF212</f>
        <v>0</v>
      </c>
      <c r="AO212" s="38" t="s">
        <v>890</v>
      </c>
      <c r="AP212" s="38" t="s">
        <v>918</v>
      </c>
      <c r="AQ212" s="29" t="s">
        <v>926</v>
      </c>
      <c r="AS212" s="37">
        <f>AM212+AN212</f>
        <v>0</v>
      </c>
      <c r="AT212" s="37">
        <f>G212/(100-AU212)*100</f>
        <v>0</v>
      </c>
      <c r="AU212" s="37">
        <v>0</v>
      </c>
      <c r="AV212" s="37">
        <f>L212</f>
        <v>0</v>
      </c>
    </row>
    <row r="213" spans="4:6" ht="12.75">
      <c r="D213" s="15" t="s">
        <v>624</v>
      </c>
      <c r="F213" s="20">
        <v>17.2</v>
      </c>
    </row>
    <row r="214" spans="4:6" ht="12.75">
      <c r="D214" s="15" t="s">
        <v>625</v>
      </c>
      <c r="F214" s="20">
        <v>19.28</v>
      </c>
    </row>
    <row r="215" spans="1:48" ht="12.75">
      <c r="A215" s="4" t="s">
        <v>86</v>
      </c>
      <c r="B215" s="4"/>
      <c r="C215" s="4" t="s">
        <v>293</v>
      </c>
      <c r="D215" s="4" t="s">
        <v>626</v>
      </c>
      <c r="E215" s="4" t="s">
        <v>839</v>
      </c>
      <c r="F215" s="19">
        <v>1</v>
      </c>
      <c r="G215" s="19">
        <v>0</v>
      </c>
      <c r="H215" s="19">
        <f>F215*AE215</f>
        <v>0</v>
      </c>
      <c r="I215" s="19">
        <f>J215-H215</f>
        <v>0</v>
      </c>
      <c r="J215" s="19">
        <f>F215*G215</f>
        <v>0</v>
      </c>
      <c r="K215" s="19">
        <v>0.01897</v>
      </c>
      <c r="L215" s="19">
        <f>F215*K215</f>
        <v>0.01897</v>
      </c>
      <c r="M215" s="32" t="s">
        <v>863</v>
      </c>
      <c r="P215" s="37">
        <f>IF(AG215="5",J215,0)</f>
        <v>0</v>
      </c>
      <c r="R215" s="37">
        <f>IF(AG215="1",H215,0)</f>
        <v>0</v>
      </c>
      <c r="S215" s="37">
        <f>IF(AG215="1",I215,0)</f>
        <v>0</v>
      </c>
      <c r="T215" s="37">
        <f>IF(AG215="7",H215,0)</f>
        <v>0</v>
      </c>
      <c r="U215" s="37">
        <f>IF(AG215="7",I215,0)</f>
        <v>0</v>
      </c>
      <c r="V215" s="37">
        <f>IF(AG215="2",H215,0)</f>
        <v>0</v>
      </c>
      <c r="W215" s="37">
        <f>IF(AG215="2",I215,0)</f>
        <v>0</v>
      </c>
      <c r="X215" s="37">
        <f>IF(AG215="0",J215,0)</f>
        <v>0</v>
      </c>
      <c r="Y215" s="29"/>
      <c r="Z215" s="19">
        <f>IF(AD215=0,J215,0)</f>
        <v>0</v>
      </c>
      <c r="AA215" s="19">
        <f>IF(AD215=15,J215,0)</f>
        <v>0</v>
      </c>
      <c r="AB215" s="19">
        <f>IF(AD215=21,J215,0)</f>
        <v>0</v>
      </c>
      <c r="AD215" s="37">
        <v>21</v>
      </c>
      <c r="AE215" s="37">
        <f>G215*0.0216688567674113</f>
        <v>0</v>
      </c>
      <c r="AF215" s="37">
        <f>G215*(1-0.0216688567674113)</f>
        <v>0</v>
      </c>
      <c r="AG215" s="32" t="s">
        <v>7</v>
      </c>
      <c r="AM215" s="37">
        <f>F215*AE215</f>
        <v>0</v>
      </c>
      <c r="AN215" s="37">
        <f>F215*AF215</f>
        <v>0</v>
      </c>
      <c r="AO215" s="38" t="s">
        <v>890</v>
      </c>
      <c r="AP215" s="38" t="s">
        <v>918</v>
      </c>
      <c r="AQ215" s="29" t="s">
        <v>926</v>
      </c>
      <c r="AS215" s="37">
        <f>AM215+AN215</f>
        <v>0</v>
      </c>
      <c r="AT215" s="37">
        <f>G215/(100-AU215)*100</f>
        <v>0</v>
      </c>
      <c r="AU215" s="37">
        <v>0</v>
      </c>
      <c r="AV215" s="37">
        <f>L215</f>
        <v>0.01897</v>
      </c>
    </row>
    <row r="216" spans="1:37" ht="12.75">
      <c r="A216" s="5"/>
      <c r="B216" s="13"/>
      <c r="C216" s="13" t="s">
        <v>294</v>
      </c>
      <c r="D216" s="13" t="s">
        <v>627</v>
      </c>
      <c r="E216" s="5" t="s">
        <v>6</v>
      </c>
      <c r="F216" s="5" t="s">
        <v>6</v>
      </c>
      <c r="G216" s="5" t="s">
        <v>6</v>
      </c>
      <c r="H216" s="40">
        <f>SUM(H217:H234)</f>
        <v>0</v>
      </c>
      <c r="I216" s="40">
        <f>SUM(I217:I234)</f>
        <v>0</v>
      </c>
      <c r="J216" s="40">
        <f>H216+I216</f>
        <v>0</v>
      </c>
      <c r="K216" s="29"/>
      <c r="L216" s="40">
        <f>SUM(L217:L234)</f>
        <v>0.1549052</v>
      </c>
      <c r="M216" s="29"/>
      <c r="Y216" s="29"/>
      <c r="AI216" s="40">
        <f>SUM(Z217:Z234)</f>
        <v>0</v>
      </c>
      <c r="AJ216" s="40">
        <f>SUM(AA217:AA234)</f>
        <v>0</v>
      </c>
      <c r="AK216" s="40">
        <f>SUM(AB217:AB234)</f>
        <v>0</v>
      </c>
    </row>
    <row r="217" spans="1:48" ht="12.75">
      <c r="A217" s="4" t="s">
        <v>87</v>
      </c>
      <c r="B217" s="4"/>
      <c r="C217" s="4" t="s">
        <v>295</v>
      </c>
      <c r="D217" s="4" t="s">
        <v>628</v>
      </c>
      <c r="E217" s="4" t="s">
        <v>841</v>
      </c>
      <c r="F217" s="19">
        <v>25.47</v>
      </c>
      <c r="G217" s="19">
        <v>0</v>
      </c>
      <c r="H217" s="19">
        <f>F217*AE217</f>
        <v>0</v>
      </c>
      <c r="I217" s="19">
        <f>J217-H217</f>
        <v>0</v>
      </c>
      <c r="J217" s="19">
        <f>F217*G217</f>
        <v>0</v>
      </c>
      <c r="K217" s="19">
        <v>0</v>
      </c>
      <c r="L217" s="19">
        <f>F217*K217</f>
        <v>0</v>
      </c>
      <c r="M217" s="32" t="s">
        <v>863</v>
      </c>
      <c r="P217" s="37">
        <f>IF(AG217="5",J217,0)</f>
        <v>0</v>
      </c>
      <c r="R217" s="37">
        <f>IF(AG217="1",H217,0)</f>
        <v>0</v>
      </c>
      <c r="S217" s="37">
        <f>IF(AG217="1",I217,0)</f>
        <v>0</v>
      </c>
      <c r="T217" s="37">
        <f>IF(AG217="7",H217,0)</f>
        <v>0</v>
      </c>
      <c r="U217" s="37">
        <f>IF(AG217="7",I217,0)</f>
        <v>0</v>
      </c>
      <c r="V217" s="37">
        <f>IF(AG217="2",H217,0)</f>
        <v>0</v>
      </c>
      <c r="W217" s="37">
        <f>IF(AG217="2",I217,0)</f>
        <v>0</v>
      </c>
      <c r="X217" s="37">
        <f>IF(AG217="0",J217,0)</f>
        <v>0</v>
      </c>
      <c r="Y217" s="29"/>
      <c r="Z217" s="19">
        <f>IF(AD217=0,J217,0)</f>
        <v>0</v>
      </c>
      <c r="AA217" s="19">
        <f>IF(AD217=15,J217,0)</f>
        <v>0</v>
      </c>
      <c r="AB217" s="19">
        <f>IF(AD217=21,J217,0)</f>
        <v>0</v>
      </c>
      <c r="AD217" s="37">
        <v>21</v>
      </c>
      <c r="AE217" s="37">
        <f>G217*0</f>
        <v>0</v>
      </c>
      <c r="AF217" s="37">
        <f>G217*(1-0)</f>
        <v>0</v>
      </c>
      <c r="AG217" s="32" t="s">
        <v>13</v>
      </c>
      <c r="AM217" s="37">
        <f>F217*AE217</f>
        <v>0</v>
      </c>
      <c r="AN217" s="37">
        <f>F217*AF217</f>
        <v>0</v>
      </c>
      <c r="AO217" s="38" t="s">
        <v>891</v>
      </c>
      <c r="AP217" s="38" t="s">
        <v>919</v>
      </c>
      <c r="AQ217" s="29" t="s">
        <v>926</v>
      </c>
      <c r="AS217" s="37">
        <f>AM217+AN217</f>
        <v>0</v>
      </c>
      <c r="AT217" s="37">
        <f>G217/(100-AU217)*100</f>
        <v>0</v>
      </c>
      <c r="AU217" s="37">
        <v>0</v>
      </c>
      <c r="AV217" s="37">
        <f>L217</f>
        <v>0</v>
      </c>
    </row>
    <row r="218" spans="4:6" ht="12.75">
      <c r="D218" s="15" t="s">
        <v>629</v>
      </c>
      <c r="F218" s="20">
        <v>7.18</v>
      </c>
    </row>
    <row r="219" spans="4:6" ht="12.75">
      <c r="D219" s="15" t="s">
        <v>630</v>
      </c>
      <c r="F219" s="20">
        <v>15.59</v>
      </c>
    </row>
    <row r="220" spans="4:6" ht="12.75">
      <c r="D220" s="15" t="s">
        <v>631</v>
      </c>
      <c r="F220" s="20">
        <v>2.7</v>
      </c>
    </row>
    <row r="221" spans="1:48" ht="12.75">
      <c r="A221" s="6" t="s">
        <v>88</v>
      </c>
      <c r="B221" s="6"/>
      <c r="C221" s="6" t="s">
        <v>296</v>
      </c>
      <c r="D221" s="6" t="s">
        <v>632</v>
      </c>
      <c r="E221" s="6" t="s">
        <v>840</v>
      </c>
      <c r="F221" s="21">
        <v>0.01</v>
      </c>
      <c r="G221" s="21">
        <v>0</v>
      </c>
      <c r="H221" s="21">
        <f>F221*AE221</f>
        <v>0</v>
      </c>
      <c r="I221" s="21">
        <f>J221-H221</f>
        <v>0</v>
      </c>
      <c r="J221" s="21">
        <f>F221*G221</f>
        <v>0</v>
      </c>
      <c r="K221" s="21">
        <v>1</v>
      </c>
      <c r="L221" s="21">
        <f>F221*K221</f>
        <v>0.01</v>
      </c>
      <c r="M221" s="33" t="s">
        <v>863</v>
      </c>
      <c r="P221" s="37">
        <f>IF(AG221="5",J221,0)</f>
        <v>0</v>
      </c>
      <c r="R221" s="37">
        <f>IF(AG221="1",H221,0)</f>
        <v>0</v>
      </c>
      <c r="S221" s="37">
        <f>IF(AG221="1",I221,0)</f>
        <v>0</v>
      </c>
      <c r="T221" s="37">
        <f>IF(AG221="7",H221,0)</f>
        <v>0</v>
      </c>
      <c r="U221" s="37">
        <f>IF(AG221="7",I221,0)</f>
        <v>0</v>
      </c>
      <c r="V221" s="37">
        <f>IF(AG221="2",H221,0)</f>
        <v>0</v>
      </c>
      <c r="W221" s="37">
        <f>IF(AG221="2",I221,0)</f>
        <v>0</v>
      </c>
      <c r="X221" s="37">
        <f>IF(AG221="0",J221,0)</f>
        <v>0</v>
      </c>
      <c r="Y221" s="29"/>
      <c r="Z221" s="21">
        <f>IF(AD221=0,J221,0)</f>
        <v>0</v>
      </c>
      <c r="AA221" s="21">
        <f>IF(AD221=15,J221,0)</f>
        <v>0</v>
      </c>
      <c r="AB221" s="21">
        <f>IF(AD221=21,J221,0)</f>
        <v>0</v>
      </c>
      <c r="AD221" s="37">
        <v>21</v>
      </c>
      <c r="AE221" s="37">
        <f>G221*1</f>
        <v>0</v>
      </c>
      <c r="AF221" s="37">
        <f>G221*(1-1)</f>
        <v>0</v>
      </c>
      <c r="AG221" s="33" t="s">
        <v>13</v>
      </c>
      <c r="AM221" s="37">
        <f>F221*AE221</f>
        <v>0</v>
      </c>
      <c r="AN221" s="37">
        <f>F221*AF221</f>
        <v>0</v>
      </c>
      <c r="AO221" s="38" t="s">
        <v>891</v>
      </c>
      <c r="AP221" s="38" t="s">
        <v>919</v>
      </c>
      <c r="AQ221" s="29" t="s">
        <v>926</v>
      </c>
      <c r="AS221" s="37">
        <f>AM221+AN221</f>
        <v>0</v>
      </c>
      <c r="AT221" s="37">
        <f>G221/(100-AU221)*100</f>
        <v>0</v>
      </c>
      <c r="AU221" s="37">
        <v>0</v>
      </c>
      <c r="AV221" s="37">
        <f>L221</f>
        <v>0.01</v>
      </c>
    </row>
    <row r="222" spans="4:6" ht="12.75">
      <c r="D222" s="15" t="s">
        <v>633</v>
      </c>
      <c r="F222" s="20">
        <v>0.01</v>
      </c>
    </row>
    <row r="223" spans="4:6" ht="12.75">
      <c r="D223" s="15" t="s">
        <v>634</v>
      </c>
      <c r="F223" s="20">
        <v>0</v>
      </c>
    </row>
    <row r="224" spans="1:48" ht="12.75">
      <c r="A224" s="4" t="s">
        <v>89</v>
      </c>
      <c r="B224" s="4"/>
      <c r="C224" s="4" t="s">
        <v>297</v>
      </c>
      <c r="D224" s="4" t="s">
        <v>635</v>
      </c>
      <c r="E224" s="4" t="s">
        <v>841</v>
      </c>
      <c r="F224" s="19">
        <v>3.23</v>
      </c>
      <c r="G224" s="19">
        <v>0</v>
      </c>
      <c r="H224" s="19">
        <f>F224*AE224</f>
        <v>0</v>
      </c>
      <c r="I224" s="19">
        <f>J224-H224</f>
        <v>0</v>
      </c>
      <c r="J224" s="19">
        <f>F224*G224</f>
        <v>0</v>
      </c>
      <c r="K224" s="19">
        <v>0.00017</v>
      </c>
      <c r="L224" s="19">
        <f>F224*K224</f>
        <v>0.0005491000000000001</v>
      </c>
      <c r="M224" s="32" t="s">
        <v>863</v>
      </c>
      <c r="P224" s="37">
        <f>IF(AG224="5",J224,0)</f>
        <v>0</v>
      </c>
      <c r="R224" s="37">
        <f>IF(AG224="1",H224,0)</f>
        <v>0</v>
      </c>
      <c r="S224" s="37">
        <f>IF(AG224="1",I224,0)</f>
        <v>0</v>
      </c>
      <c r="T224" s="37">
        <f>IF(AG224="7",H224,0)</f>
        <v>0</v>
      </c>
      <c r="U224" s="37">
        <f>IF(AG224="7",I224,0)</f>
        <v>0</v>
      </c>
      <c r="V224" s="37">
        <f>IF(AG224="2",H224,0)</f>
        <v>0</v>
      </c>
      <c r="W224" s="37">
        <f>IF(AG224="2",I224,0)</f>
        <v>0</v>
      </c>
      <c r="X224" s="37">
        <f>IF(AG224="0",J224,0)</f>
        <v>0</v>
      </c>
      <c r="Y224" s="29"/>
      <c r="Z224" s="19">
        <f>IF(AD224=0,J224,0)</f>
        <v>0</v>
      </c>
      <c r="AA224" s="19">
        <f>IF(AD224=15,J224,0)</f>
        <v>0</v>
      </c>
      <c r="AB224" s="19">
        <f>IF(AD224=21,J224,0)</f>
        <v>0</v>
      </c>
      <c r="AD224" s="37">
        <v>21</v>
      </c>
      <c r="AE224" s="37">
        <f>G224*0.138836046387914</f>
        <v>0</v>
      </c>
      <c r="AF224" s="37">
        <f>G224*(1-0.138836046387914)</f>
        <v>0</v>
      </c>
      <c r="AG224" s="32" t="s">
        <v>13</v>
      </c>
      <c r="AM224" s="37">
        <f>F224*AE224</f>
        <v>0</v>
      </c>
      <c r="AN224" s="37">
        <f>F224*AF224</f>
        <v>0</v>
      </c>
      <c r="AO224" s="38" t="s">
        <v>891</v>
      </c>
      <c r="AP224" s="38" t="s">
        <v>919</v>
      </c>
      <c r="AQ224" s="29" t="s">
        <v>926</v>
      </c>
      <c r="AS224" s="37">
        <f>AM224+AN224</f>
        <v>0</v>
      </c>
      <c r="AT224" s="37">
        <f>G224/(100-AU224)*100</f>
        <v>0</v>
      </c>
      <c r="AU224" s="37">
        <v>0</v>
      </c>
      <c r="AV224" s="37">
        <f>L224</f>
        <v>0.0005491000000000001</v>
      </c>
    </row>
    <row r="225" spans="4:6" ht="12.75">
      <c r="D225" s="15" t="s">
        <v>636</v>
      </c>
      <c r="F225" s="20">
        <v>3.23</v>
      </c>
    </row>
    <row r="226" spans="1:48" ht="12.75">
      <c r="A226" s="4" t="s">
        <v>90</v>
      </c>
      <c r="B226" s="4"/>
      <c r="C226" s="4" t="s">
        <v>298</v>
      </c>
      <c r="D226" s="4" t="s">
        <v>637</v>
      </c>
      <c r="E226" s="4" t="s">
        <v>841</v>
      </c>
      <c r="F226" s="19">
        <v>25.47</v>
      </c>
      <c r="G226" s="19">
        <v>0</v>
      </c>
      <c r="H226" s="19">
        <f>F226*AE226</f>
        <v>0</v>
      </c>
      <c r="I226" s="19">
        <f>J226-H226</f>
        <v>0</v>
      </c>
      <c r="J226" s="19">
        <f>F226*G226</f>
        <v>0</v>
      </c>
      <c r="K226" s="19">
        <v>0.00041</v>
      </c>
      <c r="L226" s="19">
        <f>F226*K226</f>
        <v>0.0104427</v>
      </c>
      <c r="M226" s="32" t="s">
        <v>863</v>
      </c>
      <c r="P226" s="37">
        <f>IF(AG226="5",J226,0)</f>
        <v>0</v>
      </c>
      <c r="R226" s="37">
        <f>IF(AG226="1",H226,0)</f>
        <v>0</v>
      </c>
      <c r="S226" s="37">
        <f>IF(AG226="1",I226,0)</f>
        <v>0</v>
      </c>
      <c r="T226" s="37">
        <f>IF(AG226="7",H226,0)</f>
        <v>0</v>
      </c>
      <c r="U226" s="37">
        <f>IF(AG226="7",I226,0)</f>
        <v>0</v>
      </c>
      <c r="V226" s="37">
        <f>IF(AG226="2",H226,0)</f>
        <v>0</v>
      </c>
      <c r="W226" s="37">
        <f>IF(AG226="2",I226,0)</f>
        <v>0</v>
      </c>
      <c r="X226" s="37">
        <f>IF(AG226="0",J226,0)</f>
        <v>0</v>
      </c>
      <c r="Y226" s="29"/>
      <c r="Z226" s="19">
        <f>IF(AD226=0,J226,0)</f>
        <v>0</v>
      </c>
      <c r="AA226" s="19">
        <f>IF(AD226=15,J226,0)</f>
        <v>0</v>
      </c>
      <c r="AB226" s="19">
        <f>IF(AD226=21,J226,0)</f>
        <v>0</v>
      </c>
      <c r="AD226" s="37">
        <v>21</v>
      </c>
      <c r="AE226" s="37">
        <f>G226*0.0820245220734937</f>
        <v>0</v>
      </c>
      <c r="AF226" s="37">
        <f>G226*(1-0.0820245220734937)</f>
        <v>0</v>
      </c>
      <c r="AG226" s="32" t="s">
        <v>13</v>
      </c>
      <c r="AM226" s="37">
        <f>F226*AE226</f>
        <v>0</v>
      </c>
      <c r="AN226" s="37">
        <f>F226*AF226</f>
        <v>0</v>
      </c>
      <c r="AO226" s="38" t="s">
        <v>891</v>
      </c>
      <c r="AP226" s="38" t="s">
        <v>919</v>
      </c>
      <c r="AQ226" s="29" t="s">
        <v>926</v>
      </c>
      <c r="AS226" s="37">
        <f>AM226+AN226</f>
        <v>0</v>
      </c>
      <c r="AT226" s="37">
        <f>G226/(100-AU226)*100</f>
        <v>0</v>
      </c>
      <c r="AU226" s="37">
        <v>0</v>
      </c>
      <c r="AV226" s="37">
        <f>L226</f>
        <v>0.0104427</v>
      </c>
    </row>
    <row r="227" spans="4:6" ht="12.75">
      <c r="D227" s="15" t="s">
        <v>629</v>
      </c>
      <c r="F227" s="20">
        <v>7.18</v>
      </c>
    </row>
    <row r="228" spans="4:6" ht="12.75">
      <c r="D228" s="15" t="s">
        <v>630</v>
      </c>
      <c r="F228" s="20">
        <v>15.59</v>
      </c>
    </row>
    <row r="229" spans="4:6" ht="12.75">
      <c r="D229" s="15" t="s">
        <v>631</v>
      </c>
      <c r="F229" s="20">
        <v>2.7</v>
      </c>
    </row>
    <row r="230" spans="1:48" ht="12.75">
      <c r="A230" s="6" t="s">
        <v>91</v>
      </c>
      <c r="B230" s="6"/>
      <c r="C230" s="6" t="s">
        <v>299</v>
      </c>
      <c r="D230" s="6" t="s">
        <v>638</v>
      </c>
      <c r="E230" s="6" t="s">
        <v>841</v>
      </c>
      <c r="F230" s="21">
        <v>33.01</v>
      </c>
      <c r="G230" s="21">
        <v>0</v>
      </c>
      <c r="H230" s="21">
        <f>F230*AE230</f>
        <v>0</v>
      </c>
      <c r="I230" s="21">
        <f>J230-H230</f>
        <v>0</v>
      </c>
      <c r="J230" s="21">
        <f>F230*G230</f>
        <v>0</v>
      </c>
      <c r="K230" s="21">
        <v>0.004</v>
      </c>
      <c r="L230" s="21">
        <f>F230*K230</f>
        <v>0.13204</v>
      </c>
      <c r="M230" s="33" t="s">
        <v>863</v>
      </c>
      <c r="P230" s="37">
        <f>IF(AG230="5",J230,0)</f>
        <v>0</v>
      </c>
      <c r="R230" s="37">
        <f>IF(AG230="1",H230,0)</f>
        <v>0</v>
      </c>
      <c r="S230" s="37">
        <f>IF(AG230="1",I230,0)</f>
        <v>0</v>
      </c>
      <c r="T230" s="37">
        <f>IF(AG230="7",H230,0)</f>
        <v>0</v>
      </c>
      <c r="U230" s="37">
        <f>IF(AG230="7",I230,0)</f>
        <v>0</v>
      </c>
      <c r="V230" s="37">
        <f>IF(AG230="2",H230,0)</f>
        <v>0</v>
      </c>
      <c r="W230" s="37">
        <f>IF(AG230="2",I230,0)</f>
        <v>0</v>
      </c>
      <c r="X230" s="37">
        <f>IF(AG230="0",J230,0)</f>
        <v>0</v>
      </c>
      <c r="Y230" s="29"/>
      <c r="Z230" s="21">
        <f>IF(AD230=0,J230,0)</f>
        <v>0</v>
      </c>
      <c r="AA230" s="21">
        <f>IF(AD230=15,J230,0)</f>
        <v>0</v>
      </c>
      <c r="AB230" s="21">
        <f>IF(AD230=21,J230,0)</f>
        <v>0</v>
      </c>
      <c r="AD230" s="37">
        <v>21</v>
      </c>
      <c r="AE230" s="37">
        <f>G230*1</f>
        <v>0</v>
      </c>
      <c r="AF230" s="37">
        <f>G230*(1-1)</f>
        <v>0</v>
      </c>
      <c r="AG230" s="33" t="s">
        <v>13</v>
      </c>
      <c r="AM230" s="37">
        <f>F230*AE230</f>
        <v>0</v>
      </c>
      <c r="AN230" s="37">
        <f>F230*AF230</f>
        <v>0</v>
      </c>
      <c r="AO230" s="38" t="s">
        <v>891</v>
      </c>
      <c r="AP230" s="38" t="s">
        <v>919</v>
      </c>
      <c r="AQ230" s="29" t="s">
        <v>926</v>
      </c>
      <c r="AS230" s="37">
        <f>AM230+AN230</f>
        <v>0</v>
      </c>
      <c r="AT230" s="37">
        <f>G230/(100-AU230)*100</f>
        <v>0</v>
      </c>
      <c r="AU230" s="37">
        <v>0</v>
      </c>
      <c r="AV230" s="37">
        <f>L230</f>
        <v>0.13204</v>
      </c>
    </row>
    <row r="231" spans="4:6" ht="12.75">
      <c r="D231" s="15" t="s">
        <v>639</v>
      </c>
      <c r="F231" s="20">
        <v>28.7</v>
      </c>
    </row>
    <row r="232" spans="4:6" ht="12.75">
      <c r="D232" s="15" t="s">
        <v>640</v>
      </c>
      <c r="F232" s="20">
        <v>4.31</v>
      </c>
    </row>
    <row r="233" spans="1:48" ht="12.75">
      <c r="A233" s="4" t="s">
        <v>92</v>
      </c>
      <c r="B233" s="4"/>
      <c r="C233" s="4" t="s">
        <v>300</v>
      </c>
      <c r="D233" s="4" t="s">
        <v>641</v>
      </c>
      <c r="E233" s="4" t="s">
        <v>841</v>
      </c>
      <c r="F233" s="19">
        <v>3.23</v>
      </c>
      <c r="G233" s="19">
        <v>0</v>
      </c>
      <c r="H233" s="19">
        <f>F233*AE233</f>
        <v>0</v>
      </c>
      <c r="I233" s="19">
        <f>J233-H233</f>
        <v>0</v>
      </c>
      <c r="J233" s="19">
        <f>F233*G233</f>
        <v>0</v>
      </c>
      <c r="K233" s="19">
        <v>0.00058</v>
      </c>
      <c r="L233" s="19">
        <f>F233*K233</f>
        <v>0.0018734000000000001</v>
      </c>
      <c r="M233" s="32" t="s">
        <v>863</v>
      </c>
      <c r="P233" s="37">
        <f>IF(AG233="5",J233,0)</f>
        <v>0</v>
      </c>
      <c r="R233" s="37">
        <f>IF(AG233="1",H233,0)</f>
        <v>0</v>
      </c>
      <c r="S233" s="37">
        <f>IF(AG233="1",I233,0)</f>
        <v>0</v>
      </c>
      <c r="T233" s="37">
        <f>IF(AG233="7",H233,0)</f>
        <v>0</v>
      </c>
      <c r="U233" s="37">
        <f>IF(AG233="7",I233,0)</f>
        <v>0</v>
      </c>
      <c r="V233" s="37">
        <f>IF(AG233="2",H233,0)</f>
        <v>0</v>
      </c>
      <c r="W233" s="37">
        <f>IF(AG233="2",I233,0)</f>
        <v>0</v>
      </c>
      <c r="X233" s="37">
        <f>IF(AG233="0",J233,0)</f>
        <v>0</v>
      </c>
      <c r="Y233" s="29"/>
      <c r="Z233" s="19">
        <f>IF(AD233=0,J233,0)</f>
        <v>0</v>
      </c>
      <c r="AA233" s="19">
        <f>IF(AD233=15,J233,0)</f>
        <v>0</v>
      </c>
      <c r="AB233" s="19">
        <f>IF(AD233=21,J233,0)</f>
        <v>0</v>
      </c>
      <c r="AD233" s="37">
        <v>21</v>
      </c>
      <c r="AE233" s="37">
        <f>G233*0.104608695652174</f>
        <v>0</v>
      </c>
      <c r="AF233" s="37">
        <f>G233*(1-0.104608695652174)</f>
        <v>0</v>
      </c>
      <c r="AG233" s="32" t="s">
        <v>13</v>
      </c>
      <c r="AM233" s="37">
        <f>F233*AE233</f>
        <v>0</v>
      </c>
      <c r="AN233" s="37">
        <f>F233*AF233</f>
        <v>0</v>
      </c>
      <c r="AO233" s="38" t="s">
        <v>891</v>
      </c>
      <c r="AP233" s="38" t="s">
        <v>919</v>
      </c>
      <c r="AQ233" s="29" t="s">
        <v>926</v>
      </c>
      <c r="AS233" s="37">
        <f>AM233+AN233</f>
        <v>0</v>
      </c>
      <c r="AT233" s="37">
        <f>G233/(100-AU233)*100</f>
        <v>0</v>
      </c>
      <c r="AU233" s="37">
        <v>0</v>
      </c>
      <c r="AV233" s="37">
        <f>L233</f>
        <v>0.0018734000000000001</v>
      </c>
    </row>
    <row r="234" spans="1:48" ht="12.75">
      <c r="A234" s="4" t="s">
        <v>93</v>
      </c>
      <c r="B234" s="4"/>
      <c r="C234" s="4" t="s">
        <v>301</v>
      </c>
      <c r="D234" s="4" t="s">
        <v>642</v>
      </c>
      <c r="E234" s="4" t="s">
        <v>840</v>
      </c>
      <c r="F234" s="19">
        <v>0.15</v>
      </c>
      <c r="G234" s="19">
        <v>0</v>
      </c>
      <c r="H234" s="19">
        <f>F234*AE234</f>
        <v>0</v>
      </c>
      <c r="I234" s="19">
        <f>J234-H234</f>
        <v>0</v>
      </c>
      <c r="J234" s="19">
        <f>F234*G234</f>
        <v>0</v>
      </c>
      <c r="K234" s="19">
        <v>0</v>
      </c>
      <c r="L234" s="19">
        <f>F234*K234</f>
        <v>0</v>
      </c>
      <c r="M234" s="32" t="s">
        <v>863</v>
      </c>
      <c r="P234" s="37">
        <f>IF(AG234="5",J234,0)</f>
        <v>0</v>
      </c>
      <c r="R234" s="37">
        <f>IF(AG234="1",H234,0)</f>
        <v>0</v>
      </c>
      <c r="S234" s="37">
        <f>IF(AG234="1",I234,0)</f>
        <v>0</v>
      </c>
      <c r="T234" s="37">
        <f>IF(AG234="7",H234,0)</f>
        <v>0</v>
      </c>
      <c r="U234" s="37">
        <f>IF(AG234="7",I234,0)</f>
        <v>0</v>
      </c>
      <c r="V234" s="37">
        <f>IF(AG234="2",H234,0)</f>
        <v>0</v>
      </c>
      <c r="W234" s="37">
        <f>IF(AG234="2",I234,0)</f>
        <v>0</v>
      </c>
      <c r="X234" s="37">
        <f>IF(AG234="0",J234,0)</f>
        <v>0</v>
      </c>
      <c r="Y234" s="29"/>
      <c r="Z234" s="19">
        <f>IF(AD234=0,J234,0)</f>
        <v>0</v>
      </c>
      <c r="AA234" s="19">
        <f>IF(AD234=15,J234,0)</f>
        <v>0</v>
      </c>
      <c r="AB234" s="19">
        <f>IF(AD234=21,J234,0)</f>
        <v>0</v>
      </c>
      <c r="AD234" s="37">
        <v>21</v>
      </c>
      <c r="AE234" s="37">
        <f>G234*0</f>
        <v>0</v>
      </c>
      <c r="AF234" s="37">
        <f>G234*(1-0)</f>
        <v>0</v>
      </c>
      <c r="AG234" s="32" t="s">
        <v>11</v>
      </c>
      <c r="AM234" s="37">
        <f>F234*AE234</f>
        <v>0</v>
      </c>
      <c r="AN234" s="37">
        <f>F234*AF234</f>
        <v>0</v>
      </c>
      <c r="AO234" s="38" t="s">
        <v>891</v>
      </c>
      <c r="AP234" s="38" t="s">
        <v>919</v>
      </c>
      <c r="AQ234" s="29" t="s">
        <v>926</v>
      </c>
      <c r="AS234" s="37">
        <f>AM234+AN234</f>
        <v>0</v>
      </c>
      <c r="AT234" s="37">
        <f>G234/(100-AU234)*100</f>
        <v>0</v>
      </c>
      <c r="AU234" s="37">
        <v>0</v>
      </c>
      <c r="AV234" s="37">
        <f>L234</f>
        <v>0</v>
      </c>
    </row>
    <row r="235" spans="1:37" ht="12.75">
      <c r="A235" s="5"/>
      <c r="B235" s="13"/>
      <c r="C235" s="13" t="s">
        <v>302</v>
      </c>
      <c r="D235" s="13" t="s">
        <v>643</v>
      </c>
      <c r="E235" s="5" t="s">
        <v>6</v>
      </c>
      <c r="F235" s="5" t="s">
        <v>6</v>
      </c>
      <c r="G235" s="5" t="s">
        <v>6</v>
      </c>
      <c r="H235" s="40">
        <f>SUM(H236:H250)</f>
        <v>0</v>
      </c>
      <c r="I235" s="40">
        <f>SUM(I236:I250)</f>
        <v>0</v>
      </c>
      <c r="J235" s="40">
        <f>H235+I235</f>
        <v>0</v>
      </c>
      <c r="K235" s="29"/>
      <c r="L235" s="40">
        <f>SUM(L236:L250)</f>
        <v>0.0601271</v>
      </c>
      <c r="M235" s="29"/>
      <c r="Y235" s="29"/>
      <c r="AI235" s="40">
        <f>SUM(Z236:Z250)</f>
        <v>0</v>
      </c>
      <c r="AJ235" s="40">
        <f>SUM(AA236:AA250)</f>
        <v>0</v>
      </c>
      <c r="AK235" s="40">
        <f>SUM(AB236:AB250)</f>
        <v>0</v>
      </c>
    </row>
    <row r="236" spans="1:48" ht="12.75">
      <c r="A236" s="4" t="s">
        <v>94</v>
      </c>
      <c r="B236" s="4"/>
      <c r="C236" s="4" t="s">
        <v>303</v>
      </c>
      <c r="D236" s="4" t="s">
        <v>644</v>
      </c>
      <c r="E236" s="4" t="s">
        <v>841</v>
      </c>
      <c r="F236" s="19">
        <v>16.67</v>
      </c>
      <c r="G236" s="19">
        <v>0</v>
      </c>
      <c r="H236" s="19">
        <f>F236*AE236</f>
        <v>0</v>
      </c>
      <c r="I236" s="19">
        <f>J236-H236</f>
        <v>0</v>
      </c>
      <c r="J236" s="19">
        <f>F236*G236</f>
        <v>0</v>
      </c>
      <c r="K236" s="19">
        <v>0.0022</v>
      </c>
      <c r="L236" s="19">
        <f>F236*K236</f>
        <v>0.036674000000000005</v>
      </c>
      <c r="M236" s="32" t="s">
        <v>863</v>
      </c>
      <c r="P236" s="37">
        <f>IF(AG236="5",J236,0)</f>
        <v>0</v>
      </c>
      <c r="R236" s="37">
        <f>IF(AG236="1",H236,0)</f>
        <v>0</v>
      </c>
      <c r="S236" s="37">
        <f>IF(AG236="1",I236,0)</f>
        <v>0</v>
      </c>
      <c r="T236" s="37">
        <f>IF(AG236="7",H236,0)</f>
        <v>0</v>
      </c>
      <c r="U236" s="37">
        <f>IF(AG236="7",I236,0)</f>
        <v>0</v>
      </c>
      <c r="V236" s="37">
        <f>IF(AG236="2",H236,0)</f>
        <v>0</v>
      </c>
      <c r="W236" s="37">
        <f>IF(AG236="2",I236,0)</f>
        <v>0</v>
      </c>
      <c r="X236" s="37">
        <f>IF(AG236="0",J236,0)</f>
        <v>0</v>
      </c>
      <c r="Y236" s="29"/>
      <c r="Z236" s="19">
        <f>IF(AD236=0,J236,0)</f>
        <v>0</v>
      </c>
      <c r="AA236" s="19">
        <f>IF(AD236=15,J236,0)</f>
        <v>0</v>
      </c>
      <c r="AB236" s="19">
        <f>IF(AD236=21,J236,0)</f>
        <v>0</v>
      </c>
      <c r="AD236" s="37">
        <v>21</v>
      </c>
      <c r="AE236" s="37">
        <f>G236*0.474449404761905</f>
        <v>0</v>
      </c>
      <c r="AF236" s="37">
        <f>G236*(1-0.474449404761905)</f>
        <v>0</v>
      </c>
      <c r="AG236" s="32" t="s">
        <v>13</v>
      </c>
      <c r="AM236" s="37">
        <f>F236*AE236</f>
        <v>0</v>
      </c>
      <c r="AN236" s="37">
        <f>F236*AF236</f>
        <v>0</v>
      </c>
      <c r="AO236" s="38" t="s">
        <v>892</v>
      </c>
      <c r="AP236" s="38" t="s">
        <v>919</v>
      </c>
      <c r="AQ236" s="29" t="s">
        <v>926</v>
      </c>
      <c r="AS236" s="37">
        <f>AM236+AN236</f>
        <v>0</v>
      </c>
      <c r="AT236" s="37">
        <f>G236/(100-AU236)*100</f>
        <v>0</v>
      </c>
      <c r="AU236" s="37">
        <v>0</v>
      </c>
      <c r="AV236" s="37">
        <f>L236</f>
        <v>0.036674000000000005</v>
      </c>
    </row>
    <row r="237" ht="12.75">
      <c r="D237" s="16" t="s">
        <v>645</v>
      </c>
    </row>
    <row r="238" spans="4:6" ht="12.75">
      <c r="D238" s="15" t="s">
        <v>646</v>
      </c>
      <c r="F238" s="20">
        <v>15.59</v>
      </c>
    </row>
    <row r="239" spans="4:6" ht="12.75">
      <c r="D239" s="15" t="s">
        <v>647</v>
      </c>
      <c r="F239" s="20">
        <v>1.08</v>
      </c>
    </row>
    <row r="240" spans="1:48" ht="12.75">
      <c r="A240" s="4" t="s">
        <v>95</v>
      </c>
      <c r="B240" s="4"/>
      <c r="C240" s="4" t="s">
        <v>304</v>
      </c>
      <c r="D240" s="4" t="s">
        <v>648</v>
      </c>
      <c r="E240" s="4" t="s">
        <v>837</v>
      </c>
      <c r="F240" s="19">
        <v>9.22</v>
      </c>
      <c r="G240" s="19">
        <v>0</v>
      </c>
      <c r="H240" s="19">
        <f>F240*AE240</f>
        <v>0</v>
      </c>
      <c r="I240" s="19">
        <f>J240-H240</f>
        <v>0</v>
      </c>
      <c r="J240" s="19">
        <f>F240*G240</f>
        <v>0</v>
      </c>
      <c r="K240" s="19">
        <v>0.00121</v>
      </c>
      <c r="L240" s="19">
        <f>F240*K240</f>
        <v>0.0111562</v>
      </c>
      <c r="M240" s="32" t="s">
        <v>863</v>
      </c>
      <c r="P240" s="37">
        <f>IF(AG240="5",J240,0)</f>
        <v>0</v>
      </c>
      <c r="R240" s="37">
        <f>IF(AG240="1",H240,0)</f>
        <v>0</v>
      </c>
      <c r="S240" s="37">
        <f>IF(AG240="1",I240,0)</f>
        <v>0</v>
      </c>
      <c r="T240" s="37">
        <f>IF(AG240="7",H240,0)</f>
        <v>0</v>
      </c>
      <c r="U240" s="37">
        <f>IF(AG240="7",I240,0)</f>
        <v>0</v>
      </c>
      <c r="V240" s="37">
        <f>IF(AG240="2",H240,0)</f>
        <v>0</v>
      </c>
      <c r="W240" s="37">
        <f>IF(AG240="2",I240,0)</f>
        <v>0</v>
      </c>
      <c r="X240" s="37">
        <f>IF(AG240="0",J240,0)</f>
        <v>0</v>
      </c>
      <c r="Y240" s="29"/>
      <c r="Z240" s="19">
        <f>IF(AD240=0,J240,0)</f>
        <v>0</v>
      </c>
      <c r="AA240" s="19">
        <f>IF(AD240=15,J240,0)</f>
        <v>0</v>
      </c>
      <c r="AB240" s="19">
        <f>IF(AD240=21,J240,0)</f>
        <v>0</v>
      </c>
      <c r="AD240" s="37">
        <v>21</v>
      </c>
      <c r="AE240" s="37">
        <f>G240*0.419944444444445</f>
        <v>0</v>
      </c>
      <c r="AF240" s="37">
        <f>G240*(1-0.419944444444445)</f>
        <v>0</v>
      </c>
      <c r="AG240" s="32" t="s">
        <v>13</v>
      </c>
      <c r="AM240" s="37">
        <f>F240*AE240</f>
        <v>0</v>
      </c>
      <c r="AN240" s="37">
        <f>F240*AF240</f>
        <v>0</v>
      </c>
      <c r="AO240" s="38" t="s">
        <v>892</v>
      </c>
      <c r="AP240" s="38" t="s">
        <v>919</v>
      </c>
      <c r="AQ240" s="29" t="s">
        <v>926</v>
      </c>
      <c r="AS240" s="37">
        <f>AM240+AN240</f>
        <v>0</v>
      </c>
      <c r="AT240" s="37">
        <f>G240/(100-AU240)*100</f>
        <v>0</v>
      </c>
      <c r="AU240" s="37">
        <v>0</v>
      </c>
      <c r="AV240" s="37">
        <f>L240</f>
        <v>0.0111562</v>
      </c>
    </row>
    <row r="241" spans="4:6" ht="12.75">
      <c r="D241" s="15" t="s">
        <v>649</v>
      </c>
      <c r="F241" s="20">
        <v>9.22</v>
      </c>
    </row>
    <row r="242" spans="1:48" ht="12.75">
      <c r="A242" s="4" t="s">
        <v>96</v>
      </c>
      <c r="B242" s="4"/>
      <c r="C242" s="4" t="s">
        <v>305</v>
      </c>
      <c r="D242" s="4" t="s">
        <v>650</v>
      </c>
      <c r="E242" s="4" t="s">
        <v>837</v>
      </c>
      <c r="F242" s="19">
        <v>5.42</v>
      </c>
      <c r="G242" s="19">
        <v>0</v>
      </c>
      <c r="H242" s="19">
        <f>F242*AE242</f>
        <v>0</v>
      </c>
      <c r="I242" s="19">
        <f>J242-H242</f>
        <v>0</v>
      </c>
      <c r="J242" s="19">
        <f>F242*G242</f>
        <v>0</v>
      </c>
      <c r="K242" s="19">
        <v>0.00058</v>
      </c>
      <c r="L242" s="19">
        <f>F242*K242</f>
        <v>0.0031436</v>
      </c>
      <c r="M242" s="32" t="s">
        <v>863</v>
      </c>
      <c r="P242" s="37">
        <f>IF(AG242="5",J242,0)</f>
        <v>0</v>
      </c>
      <c r="R242" s="37">
        <f>IF(AG242="1",H242,0)</f>
        <v>0</v>
      </c>
      <c r="S242" s="37">
        <f>IF(AG242="1",I242,0)</f>
        <v>0</v>
      </c>
      <c r="T242" s="37">
        <f>IF(AG242="7",H242,0)</f>
        <v>0</v>
      </c>
      <c r="U242" s="37">
        <f>IF(AG242="7",I242,0)</f>
        <v>0</v>
      </c>
      <c r="V242" s="37">
        <f>IF(AG242="2",H242,0)</f>
        <v>0</v>
      </c>
      <c r="W242" s="37">
        <f>IF(AG242="2",I242,0)</f>
        <v>0</v>
      </c>
      <c r="X242" s="37">
        <f>IF(AG242="0",J242,0)</f>
        <v>0</v>
      </c>
      <c r="Y242" s="29"/>
      <c r="Z242" s="19">
        <f>IF(AD242=0,J242,0)</f>
        <v>0</v>
      </c>
      <c r="AA242" s="19">
        <f>IF(AD242=15,J242,0)</f>
        <v>0</v>
      </c>
      <c r="AB242" s="19">
        <f>IF(AD242=21,J242,0)</f>
        <v>0</v>
      </c>
      <c r="AD242" s="37">
        <v>21</v>
      </c>
      <c r="AE242" s="37">
        <f>G242*0.404486692015209</f>
        <v>0</v>
      </c>
      <c r="AF242" s="37">
        <f>G242*(1-0.404486692015209)</f>
        <v>0</v>
      </c>
      <c r="AG242" s="32" t="s">
        <v>13</v>
      </c>
      <c r="AM242" s="37">
        <f>F242*AE242</f>
        <v>0</v>
      </c>
      <c r="AN242" s="37">
        <f>F242*AF242</f>
        <v>0</v>
      </c>
      <c r="AO242" s="38" t="s">
        <v>892</v>
      </c>
      <c r="AP242" s="38" t="s">
        <v>919</v>
      </c>
      <c r="AQ242" s="29" t="s">
        <v>926</v>
      </c>
      <c r="AS242" s="37">
        <f>AM242+AN242</f>
        <v>0</v>
      </c>
      <c r="AT242" s="37">
        <f>G242/(100-AU242)*100</f>
        <v>0</v>
      </c>
      <c r="AU242" s="37">
        <v>0</v>
      </c>
      <c r="AV242" s="37">
        <f>L242</f>
        <v>0.0031436</v>
      </c>
    </row>
    <row r="243" spans="4:6" ht="12.75">
      <c r="D243" s="15" t="s">
        <v>651</v>
      </c>
      <c r="F243" s="20">
        <v>5.42</v>
      </c>
    </row>
    <row r="244" spans="1:48" ht="12.75">
      <c r="A244" s="4" t="s">
        <v>97</v>
      </c>
      <c r="B244" s="4"/>
      <c r="C244" s="4" t="s">
        <v>306</v>
      </c>
      <c r="D244" s="4" t="s">
        <v>652</v>
      </c>
      <c r="E244" s="4" t="s">
        <v>837</v>
      </c>
      <c r="F244" s="19">
        <v>5.42</v>
      </c>
      <c r="G244" s="19">
        <v>0</v>
      </c>
      <c r="H244" s="19">
        <f>F244*AE244</f>
        <v>0</v>
      </c>
      <c r="I244" s="19">
        <f>J244-H244</f>
        <v>0</v>
      </c>
      <c r="J244" s="19">
        <f>F244*G244</f>
        <v>0</v>
      </c>
      <c r="K244" s="19">
        <v>0.00076</v>
      </c>
      <c r="L244" s="19">
        <f>F244*K244</f>
        <v>0.0041192</v>
      </c>
      <c r="M244" s="32" t="s">
        <v>863</v>
      </c>
      <c r="P244" s="37">
        <f>IF(AG244="5",J244,0)</f>
        <v>0</v>
      </c>
      <c r="R244" s="37">
        <f>IF(AG244="1",H244,0)</f>
        <v>0</v>
      </c>
      <c r="S244" s="37">
        <f>IF(AG244="1",I244,0)</f>
        <v>0</v>
      </c>
      <c r="T244" s="37">
        <f>IF(AG244="7",H244,0)</f>
        <v>0</v>
      </c>
      <c r="U244" s="37">
        <f>IF(AG244="7",I244,0)</f>
        <v>0</v>
      </c>
      <c r="V244" s="37">
        <f>IF(AG244="2",H244,0)</f>
        <v>0</v>
      </c>
      <c r="W244" s="37">
        <f>IF(AG244="2",I244,0)</f>
        <v>0</v>
      </c>
      <c r="X244" s="37">
        <f>IF(AG244="0",J244,0)</f>
        <v>0</v>
      </c>
      <c r="Y244" s="29"/>
      <c r="Z244" s="19">
        <f>IF(AD244=0,J244,0)</f>
        <v>0</v>
      </c>
      <c r="AA244" s="19">
        <f>IF(AD244=15,J244,0)</f>
        <v>0</v>
      </c>
      <c r="AB244" s="19">
        <f>IF(AD244=21,J244,0)</f>
        <v>0</v>
      </c>
      <c r="AD244" s="37">
        <v>21</v>
      </c>
      <c r="AE244" s="37">
        <f>G244*0.385803921568627</f>
        <v>0</v>
      </c>
      <c r="AF244" s="37">
        <f>G244*(1-0.385803921568627)</f>
        <v>0</v>
      </c>
      <c r="AG244" s="32" t="s">
        <v>13</v>
      </c>
      <c r="AM244" s="37">
        <f>F244*AE244</f>
        <v>0</v>
      </c>
      <c r="AN244" s="37">
        <f>F244*AF244</f>
        <v>0</v>
      </c>
      <c r="AO244" s="38" t="s">
        <v>892</v>
      </c>
      <c r="AP244" s="38" t="s">
        <v>919</v>
      </c>
      <c r="AQ244" s="29" t="s">
        <v>926</v>
      </c>
      <c r="AS244" s="37">
        <f>AM244+AN244</f>
        <v>0</v>
      </c>
      <c r="AT244" s="37">
        <f>G244/(100-AU244)*100</f>
        <v>0</v>
      </c>
      <c r="AU244" s="37">
        <v>0</v>
      </c>
      <c r="AV244" s="37">
        <f>L244</f>
        <v>0.0041192</v>
      </c>
    </row>
    <row r="245" spans="4:6" ht="12.75">
      <c r="D245" s="15" t="s">
        <v>651</v>
      </c>
      <c r="F245" s="20">
        <v>5.42</v>
      </c>
    </row>
    <row r="246" spans="1:48" ht="12.75">
      <c r="A246" s="4" t="s">
        <v>98</v>
      </c>
      <c r="B246" s="4"/>
      <c r="C246" s="4" t="s">
        <v>307</v>
      </c>
      <c r="D246" s="4" t="s">
        <v>653</v>
      </c>
      <c r="E246" s="4" t="s">
        <v>839</v>
      </c>
      <c r="F246" s="19">
        <v>1</v>
      </c>
      <c r="G246" s="19">
        <v>0</v>
      </c>
      <c r="H246" s="19">
        <f>F246*AE246</f>
        <v>0</v>
      </c>
      <c r="I246" s="19">
        <f>J246-H246</f>
        <v>0</v>
      </c>
      <c r="J246" s="19">
        <f>F246*G246</f>
        <v>0</v>
      </c>
      <c r="K246" s="19">
        <v>0.0012</v>
      </c>
      <c r="L246" s="19">
        <f>F246*K246</f>
        <v>0.0012</v>
      </c>
      <c r="M246" s="32" t="s">
        <v>863</v>
      </c>
      <c r="P246" s="37">
        <f>IF(AG246="5",J246,0)</f>
        <v>0</v>
      </c>
      <c r="R246" s="37">
        <f>IF(AG246="1",H246,0)</f>
        <v>0</v>
      </c>
      <c r="S246" s="37">
        <f>IF(AG246="1",I246,0)</f>
        <v>0</v>
      </c>
      <c r="T246" s="37">
        <f>IF(AG246="7",H246,0)</f>
        <v>0</v>
      </c>
      <c r="U246" s="37">
        <f>IF(AG246="7",I246,0)</f>
        <v>0</v>
      </c>
      <c r="V246" s="37">
        <f>IF(AG246="2",H246,0)</f>
        <v>0</v>
      </c>
      <c r="W246" s="37">
        <f>IF(AG246="2",I246,0)</f>
        <v>0</v>
      </c>
      <c r="X246" s="37">
        <f>IF(AG246="0",J246,0)</f>
        <v>0</v>
      </c>
      <c r="Y246" s="29"/>
      <c r="Z246" s="19">
        <f>IF(AD246=0,J246,0)</f>
        <v>0</v>
      </c>
      <c r="AA246" s="19">
        <f>IF(AD246=15,J246,0)</f>
        <v>0</v>
      </c>
      <c r="AB246" s="19">
        <f>IF(AD246=21,J246,0)</f>
        <v>0</v>
      </c>
      <c r="AD246" s="37">
        <v>21</v>
      </c>
      <c r="AE246" s="37">
        <f>G246*0.789409862570736</f>
        <v>0</v>
      </c>
      <c r="AF246" s="37">
        <f>G246*(1-0.789409862570736)</f>
        <v>0</v>
      </c>
      <c r="AG246" s="32" t="s">
        <v>13</v>
      </c>
      <c r="AM246" s="37">
        <f>F246*AE246</f>
        <v>0</v>
      </c>
      <c r="AN246" s="37">
        <f>F246*AF246</f>
        <v>0</v>
      </c>
      <c r="AO246" s="38" t="s">
        <v>892</v>
      </c>
      <c r="AP246" s="38" t="s">
        <v>919</v>
      </c>
      <c r="AQ246" s="29" t="s">
        <v>926</v>
      </c>
      <c r="AS246" s="37">
        <f>AM246+AN246</f>
        <v>0</v>
      </c>
      <c r="AT246" s="37">
        <f>G246/(100-AU246)*100</f>
        <v>0</v>
      </c>
      <c r="AU246" s="37">
        <v>0</v>
      </c>
      <c r="AV246" s="37">
        <f>L246</f>
        <v>0.0012</v>
      </c>
    </row>
    <row r="247" ht="12.75">
      <c r="D247" s="16" t="s">
        <v>654</v>
      </c>
    </row>
    <row r="248" spans="1:48" ht="12.75">
      <c r="A248" s="4" t="s">
        <v>99</v>
      </c>
      <c r="B248" s="4"/>
      <c r="C248" s="4" t="s">
        <v>308</v>
      </c>
      <c r="D248" s="4" t="s">
        <v>655</v>
      </c>
      <c r="E248" s="4" t="s">
        <v>841</v>
      </c>
      <c r="F248" s="19">
        <v>16.67</v>
      </c>
      <c r="G248" s="19">
        <v>0</v>
      </c>
      <c r="H248" s="19">
        <f>F248*AE248</f>
        <v>0</v>
      </c>
      <c r="I248" s="19">
        <f>J248-H248</f>
        <v>0</v>
      </c>
      <c r="J248" s="19">
        <f>F248*G248</f>
        <v>0</v>
      </c>
      <c r="K248" s="19">
        <v>0.00023</v>
      </c>
      <c r="L248" s="19">
        <f>F248*K248</f>
        <v>0.0038341000000000004</v>
      </c>
      <c r="M248" s="32" t="s">
        <v>863</v>
      </c>
      <c r="P248" s="37">
        <f>IF(AG248="5",J248,0)</f>
        <v>0</v>
      </c>
      <c r="R248" s="37">
        <f>IF(AG248="1",H248,0)</f>
        <v>0</v>
      </c>
      <c r="S248" s="37">
        <f>IF(AG248="1",I248,0)</f>
        <v>0</v>
      </c>
      <c r="T248" s="37">
        <f>IF(AG248="7",H248,0)</f>
        <v>0</v>
      </c>
      <c r="U248" s="37">
        <f>IF(AG248="7",I248,0)</f>
        <v>0</v>
      </c>
      <c r="V248" s="37">
        <f>IF(AG248="2",H248,0)</f>
        <v>0</v>
      </c>
      <c r="W248" s="37">
        <f>IF(AG248="2",I248,0)</f>
        <v>0</v>
      </c>
      <c r="X248" s="37">
        <f>IF(AG248="0",J248,0)</f>
        <v>0</v>
      </c>
      <c r="Y248" s="29"/>
      <c r="Z248" s="19">
        <f>IF(AD248=0,J248,0)</f>
        <v>0</v>
      </c>
      <c r="AA248" s="19">
        <f>IF(AD248=15,J248,0)</f>
        <v>0</v>
      </c>
      <c r="AB248" s="19">
        <f>IF(AD248=21,J248,0)</f>
        <v>0</v>
      </c>
      <c r="AD248" s="37">
        <v>21</v>
      </c>
      <c r="AE248" s="37">
        <f>G248*0.334937470516314</f>
        <v>0</v>
      </c>
      <c r="AF248" s="37">
        <f>G248*(1-0.334937470516314)</f>
        <v>0</v>
      </c>
      <c r="AG248" s="32" t="s">
        <v>13</v>
      </c>
      <c r="AM248" s="37">
        <f>F248*AE248</f>
        <v>0</v>
      </c>
      <c r="AN248" s="37">
        <f>F248*AF248</f>
        <v>0</v>
      </c>
      <c r="AO248" s="38" t="s">
        <v>892</v>
      </c>
      <c r="AP248" s="38" t="s">
        <v>919</v>
      </c>
      <c r="AQ248" s="29" t="s">
        <v>926</v>
      </c>
      <c r="AS248" s="37">
        <f>AM248+AN248</f>
        <v>0</v>
      </c>
      <c r="AT248" s="37">
        <f>G248/(100-AU248)*100</f>
        <v>0</v>
      </c>
      <c r="AU248" s="37">
        <v>0</v>
      </c>
      <c r="AV248" s="37">
        <f>L248</f>
        <v>0.0038341000000000004</v>
      </c>
    </row>
    <row r="249" ht="12.75">
      <c r="D249" s="16" t="s">
        <v>656</v>
      </c>
    </row>
    <row r="250" spans="1:48" ht="12.75">
      <c r="A250" s="4" t="s">
        <v>100</v>
      </c>
      <c r="B250" s="4"/>
      <c r="C250" s="4" t="s">
        <v>309</v>
      </c>
      <c r="D250" s="4" t="s">
        <v>657</v>
      </c>
      <c r="E250" s="4" t="s">
        <v>840</v>
      </c>
      <c r="F250" s="19">
        <v>0.06</v>
      </c>
      <c r="G250" s="19">
        <v>0</v>
      </c>
      <c r="H250" s="19">
        <f>F250*AE250</f>
        <v>0</v>
      </c>
      <c r="I250" s="19">
        <f>J250-H250</f>
        <v>0</v>
      </c>
      <c r="J250" s="19">
        <f>F250*G250</f>
        <v>0</v>
      </c>
      <c r="K250" s="19">
        <v>0</v>
      </c>
      <c r="L250" s="19">
        <f>F250*K250</f>
        <v>0</v>
      </c>
      <c r="M250" s="32" t="s">
        <v>863</v>
      </c>
      <c r="P250" s="37">
        <f>IF(AG250="5",J250,0)</f>
        <v>0</v>
      </c>
      <c r="R250" s="37">
        <f>IF(AG250="1",H250,0)</f>
        <v>0</v>
      </c>
      <c r="S250" s="37">
        <f>IF(AG250="1",I250,0)</f>
        <v>0</v>
      </c>
      <c r="T250" s="37">
        <f>IF(AG250="7",H250,0)</f>
        <v>0</v>
      </c>
      <c r="U250" s="37">
        <f>IF(AG250="7",I250,0)</f>
        <v>0</v>
      </c>
      <c r="V250" s="37">
        <f>IF(AG250="2",H250,0)</f>
        <v>0</v>
      </c>
      <c r="W250" s="37">
        <f>IF(AG250="2",I250,0)</f>
        <v>0</v>
      </c>
      <c r="X250" s="37">
        <f>IF(AG250="0",J250,0)</f>
        <v>0</v>
      </c>
      <c r="Y250" s="29"/>
      <c r="Z250" s="19">
        <f>IF(AD250=0,J250,0)</f>
        <v>0</v>
      </c>
      <c r="AA250" s="19">
        <f>IF(AD250=15,J250,0)</f>
        <v>0</v>
      </c>
      <c r="AB250" s="19">
        <f>IF(AD250=21,J250,0)</f>
        <v>0</v>
      </c>
      <c r="AD250" s="37">
        <v>21</v>
      </c>
      <c r="AE250" s="37">
        <f>G250*0</f>
        <v>0</v>
      </c>
      <c r="AF250" s="37">
        <f>G250*(1-0)</f>
        <v>0</v>
      </c>
      <c r="AG250" s="32" t="s">
        <v>11</v>
      </c>
      <c r="AM250" s="37">
        <f>F250*AE250</f>
        <v>0</v>
      </c>
      <c r="AN250" s="37">
        <f>F250*AF250</f>
        <v>0</v>
      </c>
      <c r="AO250" s="38" t="s">
        <v>892</v>
      </c>
      <c r="AP250" s="38" t="s">
        <v>919</v>
      </c>
      <c r="AQ250" s="29" t="s">
        <v>926</v>
      </c>
      <c r="AS250" s="37">
        <f>AM250+AN250</f>
        <v>0</v>
      </c>
      <c r="AT250" s="37">
        <f>G250/(100-AU250)*100</f>
        <v>0</v>
      </c>
      <c r="AU250" s="37">
        <v>0</v>
      </c>
      <c r="AV250" s="37">
        <f>L250</f>
        <v>0</v>
      </c>
    </row>
    <row r="251" spans="1:37" ht="12.75">
      <c r="A251" s="5"/>
      <c r="B251" s="13"/>
      <c r="C251" s="13" t="s">
        <v>310</v>
      </c>
      <c r="D251" s="13" t="s">
        <v>658</v>
      </c>
      <c r="E251" s="5" t="s">
        <v>6</v>
      </c>
      <c r="F251" s="5" t="s">
        <v>6</v>
      </c>
      <c r="G251" s="5" t="s">
        <v>6</v>
      </c>
      <c r="H251" s="40">
        <f>SUM(H252:H271)</f>
        <v>0</v>
      </c>
      <c r="I251" s="40">
        <f>SUM(I252:I271)</f>
        <v>0</v>
      </c>
      <c r="J251" s="40">
        <f>H251+I251</f>
        <v>0</v>
      </c>
      <c r="K251" s="29"/>
      <c r="L251" s="40">
        <f>SUM(L252:L271)</f>
        <v>0.07521259999999999</v>
      </c>
      <c r="M251" s="29"/>
      <c r="Y251" s="29"/>
      <c r="AI251" s="40">
        <f>SUM(Z252:Z271)</f>
        <v>0</v>
      </c>
      <c r="AJ251" s="40">
        <f>SUM(AA252:AA271)</f>
        <v>0</v>
      </c>
      <c r="AK251" s="40">
        <f>SUM(AB252:AB271)</f>
        <v>0</v>
      </c>
    </row>
    <row r="252" spans="1:48" ht="12.75">
      <c r="A252" s="4" t="s">
        <v>101</v>
      </c>
      <c r="B252" s="4"/>
      <c r="C252" s="4" t="s">
        <v>311</v>
      </c>
      <c r="D252" s="4" t="s">
        <v>659</v>
      </c>
      <c r="E252" s="4" t="s">
        <v>841</v>
      </c>
      <c r="F252" s="19">
        <v>15.59</v>
      </c>
      <c r="G252" s="19">
        <v>0</v>
      </c>
      <c r="H252" s="19">
        <f>F252*AE252</f>
        <v>0</v>
      </c>
      <c r="I252" s="19">
        <f>J252-H252</f>
        <v>0</v>
      </c>
      <c r="J252" s="19">
        <f>F252*G252</f>
        <v>0</v>
      </c>
      <c r="K252" s="19">
        <v>0</v>
      </c>
      <c r="L252" s="19">
        <f>F252*K252</f>
        <v>0</v>
      </c>
      <c r="M252" s="32" t="s">
        <v>863</v>
      </c>
      <c r="P252" s="37">
        <f>IF(AG252="5",J252,0)</f>
        <v>0</v>
      </c>
      <c r="R252" s="37">
        <f>IF(AG252="1",H252,0)</f>
        <v>0</v>
      </c>
      <c r="S252" s="37">
        <f>IF(AG252="1",I252,0)</f>
        <v>0</v>
      </c>
      <c r="T252" s="37">
        <f>IF(AG252="7",H252,0)</f>
        <v>0</v>
      </c>
      <c r="U252" s="37">
        <f>IF(AG252="7",I252,0)</f>
        <v>0</v>
      </c>
      <c r="V252" s="37">
        <f>IF(AG252="2",H252,0)</f>
        <v>0</v>
      </c>
      <c r="W252" s="37">
        <f>IF(AG252="2",I252,0)</f>
        <v>0</v>
      </c>
      <c r="X252" s="37">
        <f>IF(AG252="0",J252,0)</f>
        <v>0</v>
      </c>
      <c r="Y252" s="29"/>
      <c r="Z252" s="19">
        <f>IF(AD252=0,J252,0)</f>
        <v>0</v>
      </c>
      <c r="AA252" s="19">
        <f>IF(AD252=15,J252,0)</f>
        <v>0</v>
      </c>
      <c r="AB252" s="19">
        <f>IF(AD252=21,J252,0)</f>
        <v>0</v>
      </c>
      <c r="AD252" s="37">
        <v>21</v>
      </c>
      <c r="AE252" s="37">
        <f>G252*0.359353546405101</f>
        <v>0</v>
      </c>
      <c r="AF252" s="37">
        <f>G252*(1-0.359353546405101)</f>
        <v>0</v>
      </c>
      <c r="AG252" s="32" t="s">
        <v>13</v>
      </c>
      <c r="AM252" s="37">
        <f>F252*AE252</f>
        <v>0</v>
      </c>
      <c r="AN252" s="37">
        <f>F252*AF252</f>
        <v>0</v>
      </c>
      <c r="AO252" s="38" t="s">
        <v>893</v>
      </c>
      <c r="AP252" s="38" t="s">
        <v>919</v>
      </c>
      <c r="AQ252" s="29" t="s">
        <v>926</v>
      </c>
      <c r="AS252" s="37">
        <f>AM252+AN252</f>
        <v>0</v>
      </c>
      <c r="AT252" s="37">
        <f>G252/(100-AU252)*100</f>
        <v>0</v>
      </c>
      <c r="AU252" s="37">
        <v>0</v>
      </c>
      <c r="AV252" s="37">
        <f>L252</f>
        <v>0</v>
      </c>
    </row>
    <row r="253" spans="4:6" ht="12.75">
      <c r="D253" s="15" t="s">
        <v>660</v>
      </c>
      <c r="F253" s="20">
        <v>15.59</v>
      </c>
    </row>
    <row r="254" spans="1:48" ht="12.75">
      <c r="A254" s="6" t="s">
        <v>102</v>
      </c>
      <c r="B254" s="6"/>
      <c r="C254" s="6" t="s">
        <v>312</v>
      </c>
      <c r="D254" s="6" t="s">
        <v>661</v>
      </c>
      <c r="E254" s="6" t="s">
        <v>838</v>
      </c>
      <c r="F254" s="21">
        <v>2.61</v>
      </c>
      <c r="G254" s="21">
        <v>0</v>
      </c>
      <c r="H254" s="21">
        <f>F254*AE254</f>
        <v>0</v>
      </c>
      <c r="I254" s="21">
        <f>J254-H254</f>
        <v>0</v>
      </c>
      <c r="J254" s="21">
        <f>F254*G254</f>
        <v>0</v>
      </c>
      <c r="K254" s="21">
        <v>0.02</v>
      </c>
      <c r="L254" s="21">
        <f>F254*K254</f>
        <v>0.052199999999999996</v>
      </c>
      <c r="M254" s="33" t="s">
        <v>863</v>
      </c>
      <c r="P254" s="37">
        <f>IF(AG254="5",J254,0)</f>
        <v>0</v>
      </c>
      <c r="R254" s="37">
        <f>IF(AG254="1",H254,0)</f>
        <v>0</v>
      </c>
      <c r="S254" s="37">
        <f>IF(AG254="1",I254,0)</f>
        <v>0</v>
      </c>
      <c r="T254" s="37">
        <f>IF(AG254="7",H254,0)</f>
        <v>0</v>
      </c>
      <c r="U254" s="37">
        <f>IF(AG254="7",I254,0)</f>
        <v>0</v>
      </c>
      <c r="V254" s="37">
        <f>IF(AG254="2",H254,0)</f>
        <v>0</v>
      </c>
      <c r="W254" s="37">
        <f>IF(AG254="2",I254,0)</f>
        <v>0</v>
      </c>
      <c r="X254" s="37">
        <f>IF(AG254="0",J254,0)</f>
        <v>0</v>
      </c>
      <c r="Y254" s="29"/>
      <c r="Z254" s="21">
        <f>IF(AD254=0,J254,0)</f>
        <v>0</v>
      </c>
      <c r="AA254" s="21">
        <f>IF(AD254=15,J254,0)</f>
        <v>0</v>
      </c>
      <c r="AB254" s="21">
        <f>IF(AD254=21,J254,0)</f>
        <v>0</v>
      </c>
      <c r="AD254" s="37">
        <v>21</v>
      </c>
      <c r="AE254" s="37">
        <f>G254*1</f>
        <v>0</v>
      </c>
      <c r="AF254" s="37">
        <f>G254*(1-1)</f>
        <v>0</v>
      </c>
      <c r="AG254" s="33" t="s">
        <v>13</v>
      </c>
      <c r="AM254" s="37">
        <f>F254*AE254</f>
        <v>0</v>
      </c>
      <c r="AN254" s="37">
        <f>F254*AF254</f>
        <v>0</v>
      </c>
      <c r="AO254" s="38" t="s">
        <v>893</v>
      </c>
      <c r="AP254" s="38" t="s">
        <v>919</v>
      </c>
      <c r="AQ254" s="29" t="s">
        <v>926</v>
      </c>
      <c r="AS254" s="37">
        <f>AM254+AN254</f>
        <v>0</v>
      </c>
      <c r="AT254" s="37">
        <f>G254/(100-AU254)*100</f>
        <v>0</v>
      </c>
      <c r="AU254" s="37">
        <v>0</v>
      </c>
      <c r="AV254" s="37">
        <f>L254</f>
        <v>0.052199999999999996</v>
      </c>
    </row>
    <row r="255" spans="4:6" ht="12.75">
      <c r="D255" s="15" t="s">
        <v>662</v>
      </c>
      <c r="F255" s="20">
        <v>2.49</v>
      </c>
    </row>
    <row r="256" spans="4:6" ht="12.75">
      <c r="D256" s="15" t="s">
        <v>663</v>
      </c>
      <c r="F256" s="20">
        <v>0.12</v>
      </c>
    </row>
    <row r="257" spans="1:48" ht="12.75">
      <c r="A257" s="6" t="s">
        <v>103</v>
      </c>
      <c r="B257" s="6"/>
      <c r="C257" s="6" t="s">
        <v>313</v>
      </c>
      <c r="D257" s="6" t="s">
        <v>664</v>
      </c>
      <c r="E257" s="6" t="s">
        <v>838</v>
      </c>
      <c r="F257" s="21">
        <v>0.77</v>
      </c>
      <c r="G257" s="21">
        <v>0</v>
      </c>
      <c r="H257" s="21">
        <f>F257*AE257</f>
        <v>0</v>
      </c>
      <c r="I257" s="21">
        <f>J257-H257</f>
        <v>0</v>
      </c>
      <c r="J257" s="21">
        <f>F257*G257</f>
        <v>0</v>
      </c>
      <c r="K257" s="21">
        <v>0.02</v>
      </c>
      <c r="L257" s="21">
        <f>F257*K257</f>
        <v>0.0154</v>
      </c>
      <c r="M257" s="33" t="s">
        <v>863</v>
      </c>
      <c r="P257" s="37">
        <f>IF(AG257="5",J257,0)</f>
        <v>0</v>
      </c>
      <c r="R257" s="37">
        <f>IF(AG257="1",H257,0)</f>
        <v>0</v>
      </c>
      <c r="S257" s="37">
        <f>IF(AG257="1",I257,0)</f>
        <v>0</v>
      </c>
      <c r="T257" s="37">
        <f>IF(AG257="7",H257,0)</f>
        <v>0</v>
      </c>
      <c r="U257" s="37">
        <f>IF(AG257="7",I257,0)</f>
        <v>0</v>
      </c>
      <c r="V257" s="37">
        <f>IF(AG257="2",H257,0)</f>
        <v>0</v>
      </c>
      <c r="W257" s="37">
        <f>IF(AG257="2",I257,0)</f>
        <v>0</v>
      </c>
      <c r="X257" s="37">
        <f>IF(AG257="0",J257,0)</f>
        <v>0</v>
      </c>
      <c r="Y257" s="29"/>
      <c r="Z257" s="21">
        <f>IF(AD257=0,J257,0)</f>
        <v>0</v>
      </c>
      <c r="AA257" s="21">
        <f>IF(AD257=15,J257,0)</f>
        <v>0</v>
      </c>
      <c r="AB257" s="21">
        <f>IF(AD257=21,J257,0)</f>
        <v>0</v>
      </c>
      <c r="AD257" s="37">
        <v>21</v>
      </c>
      <c r="AE257" s="37">
        <f>G257*1</f>
        <v>0</v>
      </c>
      <c r="AF257" s="37">
        <f>G257*(1-1)</f>
        <v>0</v>
      </c>
      <c r="AG257" s="33" t="s">
        <v>13</v>
      </c>
      <c r="AM257" s="37">
        <f>F257*AE257</f>
        <v>0</v>
      </c>
      <c r="AN257" s="37">
        <f>F257*AF257</f>
        <v>0</v>
      </c>
      <c r="AO257" s="38" t="s">
        <v>893</v>
      </c>
      <c r="AP257" s="38" t="s">
        <v>919</v>
      </c>
      <c r="AQ257" s="29" t="s">
        <v>926</v>
      </c>
      <c r="AS257" s="37">
        <f>AM257+AN257</f>
        <v>0</v>
      </c>
      <c r="AT257" s="37">
        <f>G257/(100-AU257)*100</f>
        <v>0</v>
      </c>
      <c r="AU257" s="37">
        <v>0</v>
      </c>
      <c r="AV257" s="37">
        <f>L257</f>
        <v>0.0154</v>
      </c>
    </row>
    <row r="258" spans="4:6" ht="12.75">
      <c r="D258" s="15" t="s">
        <v>665</v>
      </c>
      <c r="F258" s="20">
        <v>0.7</v>
      </c>
    </row>
    <row r="259" spans="4:6" ht="12.75">
      <c r="D259" s="15" t="s">
        <v>666</v>
      </c>
      <c r="F259" s="20">
        <v>0.07</v>
      </c>
    </row>
    <row r="260" spans="1:48" ht="12.75">
      <c r="A260" s="4" t="s">
        <v>104</v>
      </c>
      <c r="B260" s="4"/>
      <c r="C260" s="4" t="s">
        <v>314</v>
      </c>
      <c r="D260" s="4" t="s">
        <v>667</v>
      </c>
      <c r="E260" s="4" t="s">
        <v>841</v>
      </c>
      <c r="F260" s="19">
        <v>4.32</v>
      </c>
      <c r="G260" s="19">
        <v>0</v>
      </c>
      <c r="H260" s="19">
        <f>F260*AE260</f>
        <v>0</v>
      </c>
      <c r="I260" s="19">
        <f>J260-H260</f>
        <v>0</v>
      </c>
      <c r="J260" s="19">
        <f>F260*G260</f>
        <v>0</v>
      </c>
      <c r="K260" s="19">
        <v>0</v>
      </c>
      <c r="L260" s="19">
        <f>F260*K260</f>
        <v>0</v>
      </c>
      <c r="M260" s="32" t="s">
        <v>863</v>
      </c>
      <c r="P260" s="37">
        <f>IF(AG260="5",J260,0)</f>
        <v>0</v>
      </c>
      <c r="R260" s="37">
        <f>IF(AG260="1",H260,0)</f>
        <v>0</v>
      </c>
      <c r="S260" s="37">
        <f>IF(AG260="1",I260,0)</f>
        <v>0</v>
      </c>
      <c r="T260" s="37">
        <f>IF(AG260="7",H260,0)</f>
        <v>0</v>
      </c>
      <c r="U260" s="37">
        <f>IF(AG260="7",I260,0)</f>
        <v>0</v>
      </c>
      <c r="V260" s="37">
        <f>IF(AG260="2",H260,0)</f>
        <v>0</v>
      </c>
      <c r="W260" s="37">
        <f>IF(AG260="2",I260,0)</f>
        <v>0</v>
      </c>
      <c r="X260" s="37">
        <f>IF(AG260="0",J260,0)</f>
        <v>0</v>
      </c>
      <c r="Y260" s="29"/>
      <c r="Z260" s="19">
        <f>IF(AD260=0,J260,0)</f>
        <v>0</v>
      </c>
      <c r="AA260" s="19">
        <f>IF(AD260=15,J260,0)</f>
        <v>0</v>
      </c>
      <c r="AB260" s="19">
        <f>IF(AD260=21,J260,0)</f>
        <v>0</v>
      </c>
      <c r="AD260" s="37">
        <v>21</v>
      </c>
      <c r="AE260" s="37">
        <f>G260*0</f>
        <v>0</v>
      </c>
      <c r="AF260" s="37">
        <f>G260*(1-0)</f>
        <v>0</v>
      </c>
      <c r="AG260" s="32" t="s">
        <v>13</v>
      </c>
      <c r="AM260" s="37">
        <f>F260*AE260</f>
        <v>0</v>
      </c>
      <c r="AN260" s="37">
        <f>F260*AF260</f>
        <v>0</v>
      </c>
      <c r="AO260" s="38" t="s">
        <v>893</v>
      </c>
      <c r="AP260" s="38" t="s">
        <v>919</v>
      </c>
      <c r="AQ260" s="29" t="s">
        <v>926</v>
      </c>
      <c r="AS260" s="37">
        <f>AM260+AN260</f>
        <v>0</v>
      </c>
      <c r="AT260" s="37">
        <f>G260/(100-AU260)*100</f>
        <v>0</v>
      </c>
      <c r="AU260" s="37">
        <v>0</v>
      </c>
      <c r="AV260" s="37">
        <f>L260</f>
        <v>0</v>
      </c>
    </row>
    <row r="261" spans="1:48" ht="12.75">
      <c r="A261" s="6" t="s">
        <v>105</v>
      </c>
      <c r="B261" s="6"/>
      <c r="C261" s="6" t="s">
        <v>312</v>
      </c>
      <c r="D261" s="6" t="s">
        <v>661</v>
      </c>
      <c r="E261" s="6" t="s">
        <v>838</v>
      </c>
      <c r="F261" s="21">
        <v>0.37</v>
      </c>
      <c r="G261" s="21">
        <v>0</v>
      </c>
      <c r="H261" s="21">
        <f>F261*AE261</f>
        <v>0</v>
      </c>
      <c r="I261" s="21">
        <f>J261-H261</f>
        <v>0</v>
      </c>
      <c r="J261" s="21">
        <f>F261*G261</f>
        <v>0</v>
      </c>
      <c r="K261" s="21">
        <v>0.02</v>
      </c>
      <c r="L261" s="21">
        <f>F261*K261</f>
        <v>0.0074</v>
      </c>
      <c r="M261" s="33" t="s">
        <v>863</v>
      </c>
      <c r="P261" s="37">
        <f>IF(AG261="5",J261,0)</f>
        <v>0</v>
      </c>
      <c r="R261" s="37">
        <f>IF(AG261="1",H261,0)</f>
        <v>0</v>
      </c>
      <c r="S261" s="37">
        <f>IF(AG261="1",I261,0)</f>
        <v>0</v>
      </c>
      <c r="T261" s="37">
        <f>IF(AG261="7",H261,0)</f>
        <v>0</v>
      </c>
      <c r="U261" s="37">
        <f>IF(AG261="7",I261,0)</f>
        <v>0</v>
      </c>
      <c r="V261" s="37">
        <f>IF(AG261="2",H261,0)</f>
        <v>0</v>
      </c>
      <c r="W261" s="37">
        <f>IF(AG261="2",I261,0)</f>
        <v>0</v>
      </c>
      <c r="X261" s="37">
        <f>IF(AG261="0",J261,0)</f>
        <v>0</v>
      </c>
      <c r="Y261" s="29"/>
      <c r="Z261" s="21">
        <f>IF(AD261=0,J261,0)</f>
        <v>0</v>
      </c>
      <c r="AA261" s="21">
        <f>IF(AD261=15,J261,0)</f>
        <v>0</v>
      </c>
      <c r="AB261" s="21">
        <f>IF(AD261=21,J261,0)</f>
        <v>0</v>
      </c>
      <c r="AD261" s="37">
        <v>21</v>
      </c>
      <c r="AE261" s="37">
        <f>G261*1</f>
        <v>0</v>
      </c>
      <c r="AF261" s="37">
        <f>G261*(1-1)</f>
        <v>0</v>
      </c>
      <c r="AG261" s="33" t="s">
        <v>13</v>
      </c>
      <c r="AM261" s="37">
        <f>F261*AE261</f>
        <v>0</v>
      </c>
      <c r="AN261" s="37">
        <f>F261*AF261</f>
        <v>0</v>
      </c>
      <c r="AO261" s="38" t="s">
        <v>893</v>
      </c>
      <c r="AP261" s="38" t="s">
        <v>919</v>
      </c>
      <c r="AQ261" s="29" t="s">
        <v>926</v>
      </c>
      <c r="AS261" s="37">
        <f>AM261+AN261</f>
        <v>0</v>
      </c>
      <c r="AT261" s="37">
        <f>G261/(100-AU261)*100</f>
        <v>0</v>
      </c>
      <c r="AU261" s="37">
        <v>0</v>
      </c>
      <c r="AV261" s="37">
        <f>L261</f>
        <v>0.0074</v>
      </c>
    </row>
    <row r="262" spans="4:6" ht="12.75">
      <c r="D262" s="15" t="s">
        <v>668</v>
      </c>
      <c r="F262" s="20">
        <v>0.35</v>
      </c>
    </row>
    <row r="263" spans="4:6" ht="12.75">
      <c r="D263" s="15" t="s">
        <v>669</v>
      </c>
      <c r="F263" s="20">
        <v>0.02</v>
      </c>
    </row>
    <row r="264" spans="1:48" ht="12.75">
      <c r="A264" s="4" t="s">
        <v>106</v>
      </c>
      <c r="B264" s="4"/>
      <c r="C264" s="4" t="s">
        <v>315</v>
      </c>
      <c r="D264" s="4" t="s">
        <v>670</v>
      </c>
      <c r="E264" s="4" t="s">
        <v>837</v>
      </c>
      <c r="F264" s="19">
        <v>8.07</v>
      </c>
      <c r="G264" s="19">
        <v>0</v>
      </c>
      <c r="H264" s="19">
        <f>F264*AE264</f>
        <v>0</v>
      </c>
      <c r="I264" s="19">
        <f>J264-H264</f>
        <v>0</v>
      </c>
      <c r="J264" s="19">
        <f>F264*G264</f>
        <v>0</v>
      </c>
      <c r="K264" s="19">
        <v>0</v>
      </c>
      <c r="L264" s="19">
        <f>F264*K264</f>
        <v>0</v>
      </c>
      <c r="M264" s="32" t="s">
        <v>863</v>
      </c>
      <c r="P264" s="37">
        <f>IF(AG264="5",J264,0)</f>
        <v>0</v>
      </c>
      <c r="R264" s="37">
        <f>IF(AG264="1",H264,0)</f>
        <v>0</v>
      </c>
      <c r="S264" s="37">
        <f>IF(AG264="1",I264,0)</f>
        <v>0</v>
      </c>
      <c r="T264" s="37">
        <f>IF(AG264="7",H264,0)</f>
        <v>0</v>
      </c>
      <c r="U264" s="37">
        <f>IF(AG264="7",I264,0)</f>
        <v>0</v>
      </c>
      <c r="V264" s="37">
        <f>IF(AG264="2",H264,0)</f>
        <v>0</v>
      </c>
      <c r="W264" s="37">
        <f>IF(AG264="2",I264,0)</f>
        <v>0</v>
      </c>
      <c r="X264" s="37">
        <f>IF(AG264="0",J264,0)</f>
        <v>0</v>
      </c>
      <c r="Y264" s="29"/>
      <c r="Z264" s="19">
        <f>IF(AD264=0,J264,0)</f>
        <v>0</v>
      </c>
      <c r="AA264" s="19">
        <f>IF(AD264=15,J264,0)</f>
        <v>0</v>
      </c>
      <c r="AB264" s="19">
        <f>IF(AD264=21,J264,0)</f>
        <v>0</v>
      </c>
      <c r="AD264" s="37">
        <v>21</v>
      </c>
      <c r="AE264" s="37">
        <f>G264*0</f>
        <v>0</v>
      </c>
      <c r="AF264" s="37">
        <f>G264*(1-0)</f>
        <v>0</v>
      </c>
      <c r="AG264" s="32" t="s">
        <v>13</v>
      </c>
      <c r="AM264" s="37">
        <f>F264*AE264</f>
        <v>0</v>
      </c>
      <c r="AN264" s="37">
        <f>F264*AF264</f>
        <v>0</v>
      </c>
      <c r="AO264" s="38" t="s">
        <v>893</v>
      </c>
      <c r="AP264" s="38" t="s">
        <v>919</v>
      </c>
      <c r="AQ264" s="29" t="s">
        <v>926</v>
      </c>
      <c r="AS264" s="37">
        <f>AM264+AN264</f>
        <v>0</v>
      </c>
      <c r="AT264" s="37">
        <f>G264/(100-AU264)*100</f>
        <v>0</v>
      </c>
      <c r="AU264" s="37">
        <v>0</v>
      </c>
      <c r="AV264" s="37">
        <f>L264</f>
        <v>0</v>
      </c>
    </row>
    <row r="265" spans="4:6" ht="12.75">
      <c r="D265" s="15" t="s">
        <v>671</v>
      </c>
      <c r="F265" s="20">
        <v>8.07</v>
      </c>
    </row>
    <row r="266" spans="1:48" ht="12.75">
      <c r="A266" s="6" t="s">
        <v>107</v>
      </c>
      <c r="B266" s="6"/>
      <c r="C266" s="6" t="s">
        <v>316</v>
      </c>
      <c r="D266" s="6" t="s">
        <v>672</v>
      </c>
      <c r="E266" s="6" t="s">
        <v>837</v>
      </c>
      <c r="F266" s="21">
        <v>8.47</v>
      </c>
      <c r="G266" s="21">
        <v>0</v>
      </c>
      <c r="H266" s="21">
        <f>F266*AE266</f>
        <v>0</v>
      </c>
      <c r="I266" s="21">
        <f>J266-H266</f>
        <v>0</v>
      </c>
      <c r="J266" s="21">
        <f>F266*G266</f>
        <v>0</v>
      </c>
      <c r="K266" s="21">
        <v>2E-05</v>
      </c>
      <c r="L266" s="21">
        <f>F266*K266</f>
        <v>0.00016940000000000002</v>
      </c>
      <c r="M266" s="33" t="s">
        <v>863</v>
      </c>
      <c r="P266" s="37">
        <f>IF(AG266="5",J266,0)</f>
        <v>0</v>
      </c>
      <c r="R266" s="37">
        <f>IF(AG266="1",H266,0)</f>
        <v>0</v>
      </c>
      <c r="S266" s="37">
        <f>IF(AG266="1",I266,0)</f>
        <v>0</v>
      </c>
      <c r="T266" s="37">
        <f>IF(AG266="7",H266,0)</f>
        <v>0</v>
      </c>
      <c r="U266" s="37">
        <f>IF(AG266="7",I266,0)</f>
        <v>0</v>
      </c>
      <c r="V266" s="37">
        <f>IF(AG266="2",H266,0)</f>
        <v>0</v>
      </c>
      <c r="W266" s="37">
        <f>IF(AG266="2",I266,0)</f>
        <v>0</v>
      </c>
      <c r="X266" s="37">
        <f>IF(AG266="0",J266,0)</f>
        <v>0</v>
      </c>
      <c r="Y266" s="29"/>
      <c r="Z266" s="21">
        <f>IF(AD266=0,J266,0)</f>
        <v>0</v>
      </c>
      <c r="AA266" s="21">
        <f>IF(AD266=15,J266,0)</f>
        <v>0</v>
      </c>
      <c r="AB266" s="21">
        <f>IF(AD266=21,J266,0)</f>
        <v>0</v>
      </c>
      <c r="AD266" s="37">
        <v>21</v>
      </c>
      <c r="AE266" s="37">
        <f>G266*1</f>
        <v>0</v>
      </c>
      <c r="AF266" s="37">
        <f>G266*(1-1)</f>
        <v>0</v>
      </c>
      <c r="AG266" s="33" t="s">
        <v>13</v>
      </c>
      <c r="AM266" s="37">
        <f>F266*AE266</f>
        <v>0</v>
      </c>
      <c r="AN266" s="37">
        <f>F266*AF266</f>
        <v>0</v>
      </c>
      <c r="AO266" s="38" t="s">
        <v>893</v>
      </c>
      <c r="AP266" s="38" t="s">
        <v>919</v>
      </c>
      <c r="AQ266" s="29" t="s">
        <v>926</v>
      </c>
      <c r="AS266" s="37">
        <f>AM266+AN266</f>
        <v>0</v>
      </c>
      <c r="AT266" s="37">
        <f>G266/(100-AU266)*100</f>
        <v>0</v>
      </c>
      <c r="AU266" s="37">
        <v>0</v>
      </c>
      <c r="AV266" s="37">
        <f>L266</f>
        <v>0.00016940000000000002</v>
      </c>
    </row>
    <row r="267" spans="4:6" ht="12.75">
      <c r="D267" s="15" t="s">
        <v>673</v>
      </c>
      <c r="F267" s="20">
        <v>8.07</v>
      </c>
    </row>
    <row r="268" spans="4:6" ht="12.75">
      <c r="D268" s="15" t="s">
        <v>674</v>
      </c>
      <c r="F268" s="20">
        <v>0.4</v>
      </c>
    </row>
    <row r="269" spans="1:48" ht="12.75">
      <c r="A269" s="4" t="s">
        <v>108</v>
      </c>
      <c r="B269" s="4"/>
      <c r="C269" s="4" t="s">
        <v>317</v>
      </c>
      <c r="D269" s="4" t="s">
        <v>675</v>
      </c>
      <c r="E269" s="4" t="s">
        <v>841</v>
      </c>
      <c r="F269" s="19">
        <v>4.32</v>
      </c>
      <c r="G269" s="19">
        <v>0</v>
      </c>
      <c r="H269" s="19">
        <f>F269*AE269</f>
        <v>0</v>
      </c>
      <c r="I269" s="19">
        <f>J269-H269</f>
        <v>0</v>
      </c>
      <c r="J269" s="19">
        <f>F269*G269</f>
        <v>0</v>
      </c>
      <c r="K269" s="19">
        <v>1E-05</v>
      </c>
      <c r="L269" s="19">
        <f>F269*K269</f>
        <v>4.3200000000000007E-05</v>
      </c>
      <c r="M269" s="32" t="s">
        <v>863</v>
      </c>
      <c r="P269" s="37">
        <f>IF(AG269="5",J269,0)</f>
        <v>0</v>
      </c>
      <c r="R269" s="37">
        <f>IF(AG269="1",H269,0)</f>
        <v>0</v>
      </c>
      <c r="S269" s="37">
        <f>IF(AG269="1",I269,0)</f>
        <v>0</v>
      </c>
      <c r="T269" s="37">
        <f>IF(AG269="7",H269,0)</f>
        <v>0</v>
      </c>
      <c r="U269" s="37">
        <f>IF(AG269="7",I269,0)</f>
        <v>0</v>
      </c>
      <c r="V269" s="37">
        <f>IF(AG269="2",H269,0)</f>
        <v>0</v>
      </c>
      <c r="W269" s="37">
        <f>IF(AG269="2",I269,0)</f>
        <v>0</v>
      </c>
      <c r="X269" s="37">
        <f>IF(AG269="0",J269,0)</f>
        <v>0</v>
      </c>
      <c r="Y269" s="29"/>
      <c r="Z269" s="19">
        <f>IF(AD269=0,J269,0)</f>
        <v>0</v>
      </c>
      <c r="AA269" s="19">
        <f>IF(AD269=15,J269,0)</f>
        <v>0</v>
      </c>
      <c r="AB269" s="19">
        <f>IF(AD269=21,J269,0)</f>
        <v>0</v>
      </c>
      <c r="AD269" s="37">
        <v>21</v>
      </c>
      <c r="AE269" s="37">
        <f>G269*0.172571428571429</f>
        <v>0</v>
      </c>
      <c r="AF269" s="37">
        <f>G269*(1-0.172571428571429)</f>
        <v>0</v>
      </c>
      <c r="AG269" s="32" t="s">
        <v>13</v>
      </c>
      <c r="AM269" s="37">
        <f>F269*AE269</f>
        <v>0</v>
      </c>
      <c r="AN269" s="37">
        <f>F269*AF269</f>
        <v>0</v>
      </c>
      <c r="AO269" s="38" t="s">
        <v>893</v>
      </c>
      <c r="AP269" s="38" t="s">
        <v>919</v>
      </c>
      <c r="AQ269" s="29" t="s">
        <v>926</v>
      </c>
      <c r="AS269" s="37">
        <f>AM269+AN269</f>
        <v>0</v>
      </c>
      <c r="AT269" s="37">
        <f>G269/(100-AU269)*100</f>
        <v>0</v>
      </c>
      <c r="AU269" s="37">
        <v>0</v>
      </c>
      <c r="AV269" s="37">
        <f>L269</f>
        <v>4.3200000000000007E-05</v>
      </c>
    </row>
    <row r="270" ht="12.75">
      <c r="D270" s="16" t="s">
        <v>676</v>
      </c>
    </row>
    <row r="271" spans="1:48" ht="12.75">
      <c r="A271" s="4" t="s">
        <v>109</v>
      </c>
      <c r="B271" s="4"/>
      <c r="C271" s="4" t="s">
        <v>318</v>
      </c>
      <c r="D271" s="4" t="s">
        <v>677</v>
      </c>
      <c r="E271" s="4" t="s">
        <v>840</v>
      </c>
      <c r="F271" s="19">
        <v>0.08</v>
      </c>
      <c r="G271" s="19">
        <v>0</v>
      </c>
      <c r="H271" s="19">
        <f>F271*AE271</f>
        <v>0</v>
      </c>
      <c r="I271" s="19">
        <f>J271-H271</f>
        <v>0</v>
      </c>
      <c r="J271" s="19">
        <f>F271*G271</f>
        <v>0</v>
      </c>
      <c r="K271" s="19">
        <v>0</v>
      </c>
      <c r="L271" s="19">
        <f>F271*K271</f>
        <v>0</v>
      </c>
      <c r="M271" s="32" t="s">
        <v>863</v>
      </c>
      <c r="P271" s="37">
        <f>IF(AG271="5",J271,0)</f>
        <v>0</v>
      </c>
      <c r="R271" s="37">
        <f>IF(AG271="1",H271,0)</f>
        <v>0</v>
      </c>
      <c r="S271" s="37">
        <f>IF(AG271="1",I271,0)</f>
        <v>0</v>
      </c>
      <c r="T271" s="37">
        <f>IF(AG271="7",H271,0)</f>
        <v>0</v>
      </c>
      <c r="U271" s="37">
        <f>IF(AG271="7",I271,0)</f>
        <v>0</v>
      </c>
      <c r="V271" s="37">
        <f>IF(AG271="2",H271,0)</f>
        <v>0</v>
      </c>
      <c r="W271" s="37">
        <f>IF(AG271="2",I271,0)</f>
        <v>0</v>
      </c>
      <c r="X271" s="37">
        <f>IF(AG271="0",J271,0)</f>
        <v>0</v>
      </c>
      <c r="Y271" s="29"/>
      <c r="Z271" s="19">
        <f>IF(AD271=0,J271,0)</f>
        <v>0</v>
      </c>
      <c r="AA271" s="19">
        <f>IF(AD271=15,J271,0)</f>
        <v>0</v>
      </c>
      <c r="AB271" s="19">
        <f>IF(AD271=21,J271,0)</f>
        <v>0</v>
      </c>
      <c r="AD271" s="37">
        <v>21</v>
      </c>
      <c r="AE271" s="37">
        <f>G271*0</f>
        <v>0</v>
      </c>
      <c r="AF271" s="37">
        <f>G271*(1-0)</f>
        <v>0</v>
      </c>
      <c r="AG271" s="32" t="s">
        <v>11</v>
      </c>
      <c r="AM271" s="37">
        <f>F271*AE271</f>
        <v>0</v>
      </c>
      <c r="AN271" s="37">
        <f>F271*AF271</f>
        <v>0</v>
      </c>
      <c r="AO271" s="38" t="s">
        <v>893</v>
      </c>
      <c r="AP271" s="38" t="s">
        <v>919</v>
      </c>
      <c r="AQ271" s="29" t="s">
        <v>926</v>
      </c>
      <c r="AS271" s="37">
        <f>AM271+AN271</f>
        <v>0</v>
      </c>
      <c r="AT271" s="37">
        <f>G271/(100-AU271)*100</f>
        <v>0</v>
      </c>
      <c r="AU271" s="37">
        <v>0</v>
      </c>
      <c r="AV271" s="37">
        <f>L271</f>
        <v>0</v>
      </c>
    </row>
    <row r="272" spans="1:37" ht="12.75">
      <c r="A272" s="5"/>
      <c r="B272" s="13"/>
      <c r="C272" s="13" t="s">
        <v>319</v>
      </c>
      <c r="D272" s="13" t="s">
        <v>678</v>
      </c>
      <c r="E272" s="5" t="s">
        <v>6</v>
      </c>
      <c r="F272" s="5" t="s">
        <v>6</v>
      </c>
      <c r="G272" s="5" t="s">
        <v>6</v>
      </c>
      <c r="H272" s="40">
        <f>SUM(H273:H283)</f>
        <v>0</v>
      </c>
      <c r="I272" s="40">
        <f>SUM(I273:I283)</f>
        <v>0</v>
      </c>
      <c r="J272" s="40">
        <f>H272+I272</f>
        <v>0</v>
      </c>
      <c r="K272" s="29"/>
      <c r="L272" s="40">
        <f>SUM(L273:L283)</f>
        <v>0.10385</v>
      </c>
      <c r="M272" s="29"/>
      <c r="Y272" s="29"/>
      <c r="AI272" s="40">
        <f>SUM(Z273:Z283)</f>
        <v>0</v>
      </c>
      <c r="AJ272" s="40">
        <f>SUM(AA273:AA283)</f>
        <v>0</v>
      </c>
      <c r="AK272" s="40">
        <f>SUM(AB273:AB283)</f>
        <v>0</v>
      </c>
    </row>
    <row r="273" spans="1:48" ht="12.75">
      <c r="A273" s="4" t="s">
        <v>110</v>
      </c>
      <c r="B273" s="4"/>
      <c r="C273" s="4" t="s">
        <v>320</v>
      </c>
      <c r="D273" s="4" t="s">
        <v>679</v>
      </c>
      <c r="E273" s="4" t="s">
        <v>839</v>
      </c>
      <c r="F273" s="19">
        <v>1</v>
      </c>
      <c r="G273" s="19">
        <v>0</v>
      </c>
      <c r="H273" s="19">
        <f aca="true" t="shared" si="0" ref="H273:H283">F273*AE273</f>
        <v>0</v>
      </c>
      <c r="I273" s="19">
        <f aca="true" t="shared" si="1" ref="I273:I283">J273-H273</f>
        <v>0</v>
      </c>
      <c r="J273" s="19">
        <f aca="true" t="shared" si="2" ref="J273:J283">F273*G273</f>
        <v>0</v>
      </c>
      <c r="K273" s="19">
        <v>0.0727</v>
      </c>
      <c r="L273" s="19">
        <f aca="true" t="shared" si="3" ref="L273:L283">F273*K273</f>
        <v>0.0727</v>
      </c>
      <c r="M273" s="32" t="s">
        <v>863</v>
      </c>
      <c r="P273" s="37">
        <f aca="true" t="shared" si="4" ref="P273:P283">IF(AG273="5",J273,0)</f>
        <v>0</v>
      </c>
      <c r="R273" s="37">
        <f aca="true" t="shared" si="5" ref="R273:R283">IF(AG273="1",H273,0)</f>
        <v>0</v>
      </c>
      <c r="S273" s="37">
        <f aca="true" t="shared" si="6" ref="S273:S283">IF(AG273="1",I273,0)</f>
        <v>0</v>
      </c>
      <c r="T273" s="37">
        <f aca="true" t="shared" si="7" ref="T273:T283">IF(AG273="7",H273,0)</f>
        <v>0</v>
      </c>
      <c r="U273" s="37">
        <f aca="true" t="shared" si="8" ref="U273:U283">IF(AG273="7",I273,0)</f>
        <v>0</v>
      </c>
      <c r="V273" s="37">
        <f aca="true" t="shared" si="9" ref="V273:V283">IF(AG273="2",H273,0)</f>
        <v>0</v>
      </c>
      <c r="W273" s="37">
        <f aca="true" t="shared" si="10" ref="W273:W283">IF(AG273="2",I273,0)</f>
        <v>0</v>
      </c>
      <c r="X273" s="37">
        <f aca="true" t="shared" si="11" ref="X273:X283">IF(AG273="0",J273,0)</f>
        <v>0</v>
      </c>
      <c r="Y273" s="29"/>
      <c r="Z273" s="19">
        <f aca="true" t="shared" si="12" ref="Z273:Z283">IF(AD273=0,J273,0)</f>
        <v>0</v>
      </c>
      <c r="AA273" s="19">
        <f aca="true" t="shared" si="13" ref="AA273:AA283">IF(AD273=15,J273,0)</f>
        <v>0</v>
      </c>
      <c r="AB273" s="19">
        <f aca="true" t="shared" si="14" ref="AB273:AB283">IF(AD273=21,J273,0)</f>
        <v>0</v>
      </c>
      <c r="AD273" s="37">
        <v>21</v>
      </c>
      <c r="AE273" s="37">
        <f>G273*0.557044715447154</f>
        <v>0</v>
      </c>
      <c r="AF273" s="37">
        <f>G273*(1-0.557044715447154)</f>
        <v>0</v>
      </c>
      <c r="AG273" s="32" t="s">
        <v>13</v>
      </c>
      <c r="AM273" s="37">
        <f aca="true" t="shared" si="15" ref="AM273:AM283">F273*AE273</f>
        <v>0</v>
      </c>
      <c r="AN273" s="37">
        <f aca="true" t="shared" si="16" ref="AN273:AN283">F273*AF273</f>
        <v>0</v>
      </c>
      <c r="AO273" s="38" t="s">
        <v>894</v>
      </c>
      <c r="AP273" s="38" t="s">
        <v>920</v>
      </c>
      <c r="AQ273" s="29" t="s">
        <v>926</v>
      </c>
      <c r="AS273" s="37">
        <f aca="true" t="shared" si="17" ref="AS273:AS283">AM273+AN273</f>
        <v>0</v>
      </c>
      <c r="AT273" s="37">
        <f aca="true" t="shared" si="18" ref="AT273:AT283">G273/(100-AU273)*100</f>
        <v>0</v>
      </c>
      <c r="AU273" s="37">
        <v>0</v>
      </c>
      <c r="AV273" s="37">
        <f aca="true" t="shared" si="19" ref="AV273:AV283">L273</f>
        <v>0.0727</v>
      </c>
    </row>
    <row r="274" spans="1:48" ht="12.75">
      <c r="A274" s="4" t="s">
        <v>111</v>
      </c>
      <c r="B274" s="4"/>
      <c r="C274" s="4" t="s">
        <v>321</v>
      </c>
      <c r="D274" s="4" t="s">
        <v>680</v>
      </c>
      <c r="E274" s="4" t="s">
        <v>837</v>
      </c>
      <c r="F274" s="19">
        <v>3</v>
      </c>
      <c r="G274" s="19">
        <v>0</v>
      </c>
      <c r="H274" s="19">
        <f t="shared" si="0"/>
        <v>0</v>
      </c>
      <c r="I274" s="19">
        <f t="shared" si="1"/>
        <v>0</v>
      </c>
      <c r="J274" s="19">
        <f t="shared" si="2"/>
        <v>0</v>
      </c>
      <c r="K274" s="19">
        <v>0.00038</v>
      </c>
      <c r="L274" s="19">
        <f t="shared" si="3"/>
        <v>0.00114</v>
      </c>
      <c r="M274" s="32" t="s">
        <v>863</v>
      </c>
      <c r="P274" s="37">
        <f t="shared" si="4"/>
        <v>0</v>
      </c>
      <c r="R274" s="37">
        <f t="shared" si="5"/>
        <v>0</v>
      </c>
      <c r="S274" s="37">
        <f t="shared" si="6"/>
        <v>0</v>
      </c>
      <c r="T274" s="37">
        <f t="shared" si="7"/>
        <v>0</v>
      </c>
      <c r="U274" s="37">
        <f t="shared" si="8"/>
        <v>0</v>
      </c>
      <c r="V274" s="37">
        <f t="shared" si="9"/>
        <v>0</v>
      </c>
      <c r="W274" s="37">
        <f t="shared" si="10"/>
        <v>0</v>
      </c>
      <c r="X274" s="37">
        <f t="shared" si="11"/>
        <v>0</v>
      </c>
      <c r="Y274" s="29"/>
      <c r="Z274" s="19">
        <f t="shared" si="12"/>
        <v>0</v>
      </c>
      <c r="AA274" s="19">
        <f t="shared" si="13"/>
        <v>0</v>
      </c>
      <c r="AB274" s="19">
        <f t="shared" si="14"/>
        <v>0</v>
      </c>
      <c r="AD274" s="37">
        <v>21</v>
      </c>
      <c r="AE274" s="37">
        <f>G274*0.335438596491228</f>
        <v>0</v>
      </c>
      <c r="AF274" s="37">
        <f>G274*(1-0.335438596491228)</f>
        <v>0</v>
      </c>
      <c r="AG274" s="32" t="s">
        <v>13</v>
      </c>
      <c r="AM274" s="37">
        <f t="shared" si="15"/>
        <v>0</v>
      </c>
      <c r="AN274" s="37">
        <f t="shared" si="16"/>
        <v>0</v>
      </c>
      <c r="AO274" s="38" t="s">
        <v>894</v>
      </c>
      <c r="AP274" s="38" t="s">
        <v>920</v>
      </c>
      <c r="AQ274" s="29" t="s">
        <v>926</v>
      </c>
      <c r="AS274" s="37">
        <f t="shared" si="17"/>
        <v>0</v>
      </c>
      <c r="AT274" s="37">
        <f t="shared" si="18"/>
        <v>0</v>
      </c>
      <c r="AU274" s="37">
        <v>0</v>
      </c>
      <c r="AV274" s="37">
        <f t="shared" si="19"/>
        <v>0.00114</v>
      </c>
    </row>
    <row r="275" spans="1:48" ht="12.75">
      <c r="A275" s="4" t="s">
        <v>112</v>
      </c>
      <c r="B275" s="4"/>
      <c r="C275" s="4" t="s">
        <v>322</v>
      </c>
      <c r="D275" s="4" t="s">
        <v>681</v>
      </c>
      <c r="E275" s="4" t="s">
        <v>837</v>
      </c>
      <c r="F275" s="19">
        <v>1</v>
      </c>
      <c r="G275" s="19">
        <v>0</v>
      </c>
      <c r="H275" s="19">
        <f t="shared" si="0"/>
        <v>0</v>
      </c>
      <c r="I275" s="19">
        <f t="shared" si="1"/>
        <v>0</v>
      </c>
      <c r="J275" s="19">
        <f t="shared" si="2"/>
        <v>0</v>
      </c>
      <c r="K275" s="19">
        <v>0.00152</v>
      </c>
      <c r="L275" s="19">
        <f t="shared" si="3"/>
        <v>0.00152</v>
      </c>
      <c r="M275" s="32" t="s">
        <v>863</v>
      </c>
      <c r="P275" s="37">
        <f t="shared" si="4"/>
        <v>0</v>
      </c>
      <c r="R275" s="37">
        <f t="shared" si="5"/>
        <v>0</v>
      </c>
      <c r="S275" s="37">
        <f t="shared" si="6"/>
        <v>0</v>
      </c>
      <c r="T275" s="37">
        <f t="shared" si="7"/>
        <v>0</v>
      </c>
      <c r="U275" s="37">
        <f t="shared" si="8"/>
        <v>0</v>
      </c>
      <c r="V275" s="37">
        <f t="shared" si="9"/>
        <v>0</v>
      </c>
      <c r="W275" s="37">
        <f t="shared" si="10"/>
        <v>0</v>
      </c>
      <c r="X275" s="37">
        <f t="shared" si="11"/>
        <v>0</v>
      </c>
      <c r="Y275" s="29"/>
      <c r="Z275" s="19">
        <f t="shared" si="12"/>
        <v>0</v>
      </c>
      <c r="AA275" s="19">
        <f t="shared" si="13"/>
        <v>0</v>
      </c>
      <c r="AB275" s="19">
        <f t="shared" si="14"/>
        <v>0</v>
      </c>
      <c r="AD275" s="37">
        <v>21</v>
      </c>
      <c r="AE275" s="37">
        <f>G275*0.304721030042918</f>
        <v>0</v>
      </c>
      <c r="AF275" s="37">
        <f>G275*(1-0.304721030042918)</f>
        <v>0</v>
      </c>
      <c r="AG275" s="32" t="s">
        <v>13</v>
      </c>
      <c r="AM275" s="37">
        <f t="shared" si="15"/>
        <v>0</v>
      </c>
      <c r="AN275" s="37">
        <f t="shared" si="16"/>
        <v>0</v>
      </c>
      <c r="AO275" s="38" t="s">
        <v>894</v>
      </c>
      <c r="AP275" s="38" t="s">
        <v>920</v>
      </c>
      <c r="AQ275" s="29" t="s">
        <v>926</v>
      </c>
      <c r="AS275" s="37">
        <f t="shared" si="17"/>
        <v>0</v>
      </c>
      <c r="AT275" s="37">
        <f t="shared" si="18"/>
        <v>0</v>
      </c>
      <c r="AU275" s="37">
        <v>0</v>
      </c>
      <c r="AV275" s="37">
        <f t="shared" si="19"/>
        <v>0.00152</v>
      </c>
    </row>
    <row r="276" spans="1:48" ht="12.75">
      <c r="A276" s="4" t="s">
        <v>113</v>
      </c>
      <c r="B276" s="4"/>
      <c r="C276" s="4" t="s">
        <v>323</v>
      </c>
      <c r="D276" s="4" t="s">
        <v>682</v>
      </c>
      <c r="E276" s="4" t="s">
        <v>837</v>
      </c>
      <c r="F276" s="19">
        <v>6</v>
      </c>
      <c r="G276" s="19">
        <v>0</v>
      </c>
      <c r="H276" s="19">
        <f t="shared" si="0"/>
        <v>0</v>
      </c>
      <c r="I276" s="19">
        <f t="shared" si="1"/>
        <v>0</v>
      </c>
      <c r="J276" s="19">
        <f t="shared" si="2"/>
        <v>0</v>
      </c>
      <c r="K276" s="19">
        <v>0.00131</v>
      </c>
      <c r="L276" s="19">
        <f t="shared" si="3"/>
        <v>0.007859999999999999</v>
      </c>
      <c r="M276" s="32" t="s">
        <v>863</v>
      </c>
      <c r="P276" s="37">
        <f t="shared" si="4"/>
        <v>0</v>
      </c>
      <c r="R276" s="37">
        <f t="shared" si="5"/>
        <v>0</v>
      </c>
      <c r="S276" s="37">
        <f t="shared" si="6"/>
        <v>0</v>
      </c>
      <c r="T276" s="37">
        <f t="shared" si="7"/>
        <v>0</v>
      </c>
      <c r="U276" s="37">
        <f t="shared" si="8"/>
        <v>0</v>
      </c>
      <c r="V276" s="37">
        <f t="shared" si="9"/>
        <v>0</v>
      </c>
      <c r="W276" s="37">
        <f t="shared" si="10"/>
        <v>0</v>
      </c>
      <c r="X276" s="37">
        <f t="shared" si="11"/>
        <v>0</v>
      </c>
      <c r="Y276" s="29"/>
      <c r="Z276" s="19">
        <f t="shared" si="12"/>
        <v>0</v>
      </c>
      <c r="AA276" s="19">
        <f t="shared" si="13"/>
        <v>0</v>
      </c>
      <c r="AB276" s="19">
        <f t="shared" si="14"/>
        <v>0</v>
      </c>
      <c r="AD276" s="37">
        <v>21</v>
      </c>
      <c r="AE276" s="37">
        <f>G276*0.415212765957447</f>
        <v>0</v>
      </c>
      <c r="AF276" s="37">
        <f>G276*(1-0.415212765957447)</f>
        <v>0</v>
      </c>
      <c r="AG276" s="32" t="s">
        <v>13</v>
      </c>
      <c r="AM276" s="37">
        <f t="shared" si="15"/>
        <v>0</v>
      </c>
      <c r="AN276" s="37">
        <f t="shared" si="16"/>
        <v>0</v>
      </c>
      <c r="AO276" s="38" t="s">
        <v>894</v>
      </c>
      <c r="AP276" s="38" t="s">
        <v>920</v>
      </c>
      <c r="AQ276" s="29" t="s">
        <v>926</v>
      </c>
      <c r="AS276" s="37">
        <f t="shared" si="17"/>
        <v>0</v>
      </c>
      <c r="AT276" s="37">
        <f t="shared" si="18"/>
        <v>0</v>
      </c>
      <c r="AU276" s="37">
        <v>0</v>
      </c>
      <c r="AV276" s="37">
        <f t="shared" si="19"/>
        <v>0.007859999999999999</v>
      </c>
    </row>
    <row r="277" spans="1:48" ht="12.75">
      <c r="A277" s="4" t="s">
        <v>114</v>
      </c>
      <c r="B277" s="4"/>
      <c r="C277" s="4" t="s">
        <v>324</v>
      </c>
      <c r="D277" s="4" t="s">
        <v>683</v>
      </c>
      <c r="E277" s="4" t="s">
        <v>837</v>
      </c>
      <c r="F277" s="19">
        <v>1</v>
      </c>
      <c r="G277" s="19">
        <v>0</v>
      </c>
      <c r="H277" s="19">
        <f t="shared" si="0"/>
        <v>0</v>
      </c>
      <c r="I277" s="19">
        <f t="shared" si="1"/>
        <v>0</v>
      </c>
      <c r="J277" s="19">
        <f t="shared" si="2"/>
        <v>0</v>
      </c>
      <c r="K277" s="19">
        <v>0.00171</v>
      </c>
      <c r="L277" s="19">
        <f t="shared" si="3"/>
        <v>0.00171</v>
      </c>
      <c r="M277" s="32" t="s">
        <v>863</v>
      </c>
      <c r="P277" s="37">
        <f t="shared" si="4"/>
        <v>0</v>
      </c>
      <c r="R277" s="37">
        <f t="shared" si="5"/>
        <v>0</v>
      </c>
      <c r="S277" s="37">
        <f t="shared" si="6"/>
        <v>0</v>
      </c>
      <c r="T277" s="37">
        <f t="shared" si="7"/>
        <v>0</v>
      </c>
      <c r="U277" s="37">
        <f t="shared" si="8"/>
        <v>0</v>
      </c>
      <c r="V277" s="37">
        <f t="shared" si="9"/>
        <v>0</v>
      </c>
      <c r="W277" s="37">
        <f t="shared" si="10"/>
        <v>0</v>
      </c>
      <c r="X277" s="37">
        <f t="shared" si="11"/>
        <v>0</v>
      </c>
      <c r="Y277" s="29"/>
      <c r="Z277" s="19">
        <f t="shared" si="12"/>
        <v>0</v>
      </c>
      <c r="AA277" s="19">
        <f t="shared" si="13"/>
        <v>0</v>
      </c>
      <c r="AB277" s="19">
        <f t="shared" si="14"/>
        <v>0</v>
      </c>
      <c r="AD277" s="37">
        <v>21</v>
      </c>
      <c r="AE277" s="37">
        <f>G277*0.380037593984962</f>
        <v>0</v>
      </c>
      <c r="AF277" s="37">
        <f>G277*(1-0.380037593984962)</f>
        <v>0</v>
      </c>
      <c r="AG277" s="32" t="s">
        <v>13</v>
      </c>
      <c r="AM277" s="37">
        <f t="shared" si="15"/>
        <v>0</v>
      </c>
      <c r="AN277" s="37">
        <f t="shared" si="16"/>
        <v>0</v>
      </c>
      <c r="AO277" s="38" t="s">
        <v>894</v>
      </c>
      <c r="AP277" s="38" t="s">
        <v>920</v>
      </c>
      <c r="AQ277" s="29" t="s">
        <v>926</v>
      </c>
      <c r="AS277" s="37">
        <f t="shared" si="17"/>
        <v>0</v>
      </c>
      <c r="AT277" s="37">
        <f t="shared" si="18"/>
        <v>0</v>
      </c>
      <c r="AU277" s="37">
        <v>0</v>
      </c>
      <c r="AV277" s="37">
        <f t="shared" si="19"/>
        <v>0.00171</v>
      </c>
    </row>
    <row r="278" spans="1:48" ht="12.75">
      <c r="A278" s="4" t="s">
        <v>115</v>
      </c>
      <c r="B278" s="4"/>
      <c r="C278" s="4" t="s">
        <v>325</v>
      </c>
      <c r="D278" s="4" t="s">
        <v>684</v>
      </c>
      <c r="E278" s="4" t="s">
        <v>837</v>
      </c>
      <c r="F278" s="19">
        <v>6</v>
      </c>
      <c r="G278" s="19">
        <v>0</v>
      </c>
      <c r="H278" s="19">
        <f t="shared" si="0"/>
        <v>0</v>
      </c>
      <c r="I278" s="19">
        <f t="shared" si="1"/>
        <v>0</v>
      </c>
      <c r="J278" s="19">
        <f t="shared" si="2"/>
        <v>0</v>
      </c>
      <c r="K278" s="19">
        <v>0.00252</v>
      </c>
      <c r="L278" s="19">
        <f t="shared" si="3"/>
        <v>0.015120000000000001</v>
      </c>
      <c r="M278" s="32" t="s">
        <v>863</v>
      </c>
      <c r="P278" s="37">
        <f t="shared" si="4"/>
        <v>0</v>
      </c>
      <c r="R278" s="37">
        <f t="shared" si="5"/>
        <v>0</v>
      </c>
      <c r="S278" s="37">
        <f t="shared" si="6"/>
        <v>0</v>
      </c>
      <c r="T278" s="37">
        <f t="shared" si="7"/>
        <v>0</v>
      </c>
      <c r="U278" s="37">
        <f t="shared" si="8"/>
        <v>0</v>
      </c>
      <c r="V278" s="37">
        <f t="shared" si="9"/>
        <v>0</v>
      </c>
      <c r="W278" s="37">
        <f t="shared" si="10"/>
        <v>0</v>
      </c>
      <c r="X278" s="37">
        <f t="shared" si="11"/>
        <v>0</v>
      </c>
      <c r="Y278" s="29"/>
      <c r="Z278" s="19">
        <f t="shared" si="12"/>
        <v>0</v>
      </c>
      <c r="AA278" s="19">
        <f t="shared" si="13"/>
        <v>0</v>
      </c>
      <c r="AB278" s="19">
        <f t="shared" si="14"/>
        <v>0</v>
      </c>
      <c r="AD278" s="37">
        <v>21</v>
      </c>
      <c r="AE278" s="37">
        <f>G278*0.478836477987421</f>
        <v>0</v>
      </c>
      <c r="AF278" s="37">
        <f>G278*(1-0.478836477987421)</f>
        <v>0</v>
      </c>
      <c r="AG278" s="32" t="s">
        <v>13</v>
      </c>
      <c r="AM278" s="37">
        <f t="shared" si="15"/>
        <v>0</v>
      </c>
      <c r="AN278" s="37">
        <f t="shared" si="16"/>
        <v>0</v>
      </c>
      <c r="AO278" s="38" t="s">
        <v>894</v>
      </c>
      <c r="AP278" s="38" t="s">
        <v>920</v>
      </c>
      <c r="AQ278" s="29" t="s">
        <v>926</v>
      </c>
      <c r="AS278" s="37">
        <f t="shared" si="17"/>
        <v>0</v>
      </c>
      <c r="AT278" s="37">
        <f t="shared" si="18"/>
        <v>0</v>
      </c>
      <c r="AU278" s="37">
        <v>0</v>
      </c>
      <c r="AV278" s="37">
        <f t="shared" si="19"/>
        <v>0.015120000000000001</v>
      </c>
    </row>
    <row r="279" spans="1:48" ht="12.75">
      <c r="A279" s="4" t="s">
        <v>116</v>
      </c>
      <c r="B279" s="4"/>
      <c r="C279" s="4" t="s">
        <v>326</v>
      </c>
      <c r="D279" s="4" t="s">
        <v>685</v>
      </c>
      <c r="E279" s="4" t="s">
        <v>839</v>
      </c>
      <c r="F279" s="19">
        <v>3</v>
      </c>
      <c r="G279" s="19">
        <v>0</v>
      </c>
      <c r="H279" s="19">
        <f t="shared" si="0"/>
        <v>0</v>
      </c>
      <c r="I279" s="19">
        <f t="shared" si="1"/>
        <v>0</v>
      </c>
      <c r="J279" s="19">
        <f t="shared" si="2"/>
        <v>0</v>
      </c>
      <c r="K279" s="19">
        <v>0</v>
      </c>
      <c r="L279" s="19">
        <f t="shared" si="3"/>
        <v>0</v>
      </c>
      <c r="M279" s="32" t="s">
        <v>863</v>
      </c>
      <c r="P279" s="37">
        <f t="shared" si="4"/>
        <v>0</v>
      </c>
      <c r="R279" s="37">
        <f t="shared" si="5"/>
        <v>0</v>
      </c>
      <c r="S279" s="37">
        <f t="shared" si="6"/>
        <v>0</v>
      </c>
      <c r="T279" s="37">
        <f t="shared" si="7"/>
        <v>0</v>
      </c>
      <c r="U279" s="37">
        <f t="shared" si="8"/>
        <v>0</v>
      </c>
      <c r="V279" s="37">
        <f t="shared" si="9"/>
        <v>0</v>
      </c>
      <c r="W279" s="37">
        <f t="shared" si="10"/>
        <v>0</v>
      </c>
      <c r="X279" s="37">
        <f t="shared" si="11"/>
        <v>0</v>
      </c>
      <c r="Y279" s="29"/>
      <c r="Z279" s="19">
        <f t="shared" si="12"/>
        <v>0</v>
      </c>
      <c r="AA279" s="19">
        <f t="shared" si="13"/>
        <v>0</v>
      </c>
      <c r="AB279" s="19">
        <f t="shared" si="14"/>
        <v>0</v>
      </c>
      <c r="AD279" s="37">
        <v>21</v>
      </c>
      <c r="AE279" s="37">
        <f>G279*0</f>
        <v>0</v>
      </c>
      <c r="AF279" s="37">
        <f>G279*(1-0)</f>
        <v>0</v>
      </c>
      <c r="AG279" s="32" t="s">
        <v>13</v>
      </c>
      <c r="AM279" s="37">
        <f t="shared" si="15"/>
        <v>0</v>
      </c>
      <c r="AN279" s="37">
        <f t="shared" si="16"/>
        <v>0</v>
      </c>
      <c r="AO279" s="38" t="s">
        <v>894</v>
      </c>
      <c r="AP279" s="38" t="s">
        <v>920</v>
      </c>
      <c r="AQ279" s="29" t="s">
        <v>926</v>
      </c>
      <c r="AS279" s="37">
        <f t="shared" si="17"/>
        <v>0</v>
      </c>
      <c r="AT279" s="37">
        <f t="shared" si="18"/>
        <v>0</v>
      </c>
      <c r="AU279" s="37">
        <v>0</v>
      </c>
      <c r="AV279" s="37">
        <f t="shared" si="19"/>
        <v>0</v>
      </c>
    </row>
    <row r="280" spans="1:48" ht="12.75">
      <c r="A280" s="4" t="s">
        <v>117</v>
      </c>
      <c r="B280" s="4"/>
      <c r="C280" s="4" t="s">
        <v>327</v>
      </c>
      <c r="D280" s="4" t="s">
        <v>686</v>
      </c>
      <c r="E280" s="4" t="s">
        <v>839</v>
      </c>
      <c r="F280" s="19">
        <v>1</v>
      </c>
      <c r="G280" s="19">
        <v>0</v>
      </c>
      <c r="H280" s="19">
        <f t="shared" si="0"/>
        <v>0</v>
      </c>
      <c r="I280" s="19">
        <f t="shared" si="1"/>
        <v>0</v>
      </c>
      <c r="J280" s="19">
        <f t="shared" si="2"/>
        <v>0</v>
      </c>
      <c r="K280" s="19">
        <v>0</v>
      </c>
      <c r="L280" s="19">
        <f t="shared" si="3"/>
        <v>0</v>
      </c>
      <c r="M280" s="32" t="s">
        <v>863</v>
      </c>
      <c r="P280" s="37">
        <f t="shared" si="4"/>
        <v>0</v>
      </c>
      <c r="R280" s="37">
        <f t="shared" si="5"/>
        <v>0</v>
      </c>
      <c r="S280" s="37">
        <f t="shared" si="6"/>
        <v>0</v>
      </c>
      <c r="T280" s="37">
        <f t="shared" si="7"/>
        <v>0</v>
      </c>
      <c r="U280" s="37">
        <f t="shared" si="8"/>
        <v>0</v>
      </c>
      <c r="V280" s="37">
        <f t="shared" si="9"/>
        <v>0</v>
      </c>
      <c r="W280" s="37">
        <f t="shared" si="10"/>
        <v>0</v>
      </c>
      <c r="X280" s="37">
        <f t="shared" si="11"/>
        <v>0</v>
      </c>
      <c r="Y280" s="29"/>
      <c r="Z280" s="19">
        <f t="shared" si="12"/>
        <v>0</v>
      </c>
      <c r="AA280" s="19">
        <f t="shared" si="13"/>
        <v>0</v>
      </c>
      <c r="AB280" s="19">
        <f t="shared" si="14"/>
        <v>0</v>
      </c>
      <c r="AD280" s="37">
        <v>21</v>
      </c>
      <c r="AE280" s="37">
        <f>G280*0</f>
        <v>0</v>
      </c>
      <c r="AF280" s="37">
        <f>G280*(1-0)</f>
        <v>0</v>
      </c>
      <c r="AG280" s="32" t="s">
        <v>13</v>
      </c>
      <c r="AM280" s="37">
        <f t="shared" si="15"/>
        <v>0</v>
      </c>
      <c r="AN280" s="37">
        <f t="shared" si="16"/>
        <v>0</v>
      </c>
      <c r="AO280" s="38" t="s">
        <v>894</v>
      </c>
      <c r="AP280" s="38" t="s">
        <v>920</v>
      </c>
      <c r="AQ280" s="29" t="s">
        <v>926</v>
      </c>
      <c r="AS280" s="37">
        <f t="shared" si="17"/>
        <v>0</v>
      </c>
      <c r="AT280" s="37">
        <f t="shared" si="18"/>
        <v>0</v>
      </c>
      <c r="AU280" s="37">
        <v>0</v>
      </c>
      <c r="AV280" s="37">
        <f t="shared" si="19"/>
        <v>0</v>
      </c>
    </row>
    <row r="281" spans="1:48" ht="12.75">
      <c r="A281" s="4" t="s">
        <v>118</v>
      </c>
      <c r="B281" s="4"/>
      <c r="C281" s="4" t="s">
        <v>328</v>
      </c>
      <c r="D281" s="4" t="s">
        <v>687</v>
      </c>
      <c r="E281" s="4" t="s">
        <v>839</v>
      </c>
      <c r="F281" s="19">
        <v>1</v>
      </c>
      <c r="G281" s="19">
        <v>0</v>
      </c>
      <c r="H281" s="19">
        <f t="shared" si="0"/>
        <v>0</v>
      </c>
      <c r="I281" s="19">
        <f t="shared" si="1"/>
        <v>0</v>
      </c>
      <c r="J281" s="19">
        <f t="shared" si="2"/>
        <v>0</v>
      </c>
      <c r="K281" s="19">
        <v>0.0038</v>
      </c>
      <c r="L281" s="19">
        <f t="shared" si="3"/>
        <v>0.0038</v>
      </c>
      <c r="M281" s="32" t="s">
        <v>863</v>
      </c>
      <c r="P281" s="37">
        <f t="shared" si="4"/>
        <v>0</v>
      </c>
      <c r="R281" s="37">
        <f t="shared" si="5"/>
        <v>0</v>
      </c>
      <c r="S281" s="37">
        <f t="shared" si="6"/>
        <v>0</v>
      </c>
      <c r="T281" s="37">
        <f t="shared" si="7"/>
        <v>0</v>
      </c>
      <c r="U281" s="37">
        <f t="shared" si="8"/>
        <v>0</v>
      </c>
      <c r="V281" s="37">
        <f t="shared" si="9"/>
        <v>0</v>
      </c>
      <c r="W281" s="37">
        <f t="shared" si="10"/>
        <v>0</v>
      </c>
      <c r="X281" s="37">
        <f t="shared" si="11"/>
        <v>0</v>
      </c>
      <c r="Y281" s="29"/>
      <c r="Z281" s="19">
        <f t="shared" si="12"/>
        <v>0</v>
      </c>
      <c r="AA281" s="19">
        <f t="shared" si="13"/>
        <v>0</v>
      </c>
      <c r="AB281" s="19">
        <f t="shared" si="14"/>
        <v>0</v>
      </c>
      <c r="AD281" s="37">
        <v>21</v>
      </c>
      <c r="AE281" s="37">
        <f>G281*0.554512635379061</f>
        <v>0</v>
      </c>
      <c r="AF281" s="37">
        <f>G281*(1-0.554512635379061)</f>
        <v>0</v>
      </c>
      <c r="AG281" s="32" t="s">
        <v>13</v>
      </c>
      <c r="AM281" s="37">
        <f t="shared" si="15"/>
        <v>0</v>
      </c>
      <c r="AN281" s="37">
        <f t="shared" si="16"/>
        <v>0</v>
      </c>
      <c r="AO281" s="38" t="s">
        <v>894</v>
      </c>
      <c r="AP281" s="38" t="s">
        <v>920</v>
      </c>
      <c r="AQ281" s="29" t="s">
        <v>926</v>
      </c>
      <c r="AS281" s="37">
        <f t="shared" si="17"/>
        <v>0</v>
      </c>
      <c r="AT281" s="37">
        <f t="shared" si="18"/>
        <v>0</v>
      </c>
      <c r="AU281" s="37">
        <v>0</v>
      </c>
      <c r="AV281" s="37">
        <f t="shared" si="19"/>
        <v>0.0038</v>
      </c>
    </row>
    <row r="282" spans="1:48" ht="12.75">
      <c r="A282" s="4" t="s">
        <v>119</v>
      </c>
      <c r="B282" s="4"/>
      <c r="C282" s="4" t="s">
        <v>329</v>
      </c>
      <c r="D282" s="4" t="s">
        <v>688</v>
      </c>
      <c r="E282" s="4" t="s">
        <v>837</v>
      </c>
      <c r="F282" s="19">
        <v>8</v>
      </c>
      <c r="G282" s="19">
        <v>0</v>
      </c>
      <c r="H282" s="19">
        <f t="shared" si="0"/>
        <v>0</v>
      </c>
      <c r="I282" s="19">
        <f t="shared" si="1"/>
        <v>0</v>
      </c>
      <c r="J282" s="19">
        <f t="shared" si="2"/>
        <v>0</v>
      </c>
      <c r="K282" s="19">
        <v>0</v>
      </c>
      <c r="L282" s="19">
        <f t="shared" si="3"/>
        <v>0</v>
      </c>
      <c r="M282" s="32" t="s">
        <v>863</v>
      </c>
      <c r="P282" s="37">
        <f t="shared" si="4"/>
        <v>0</v>
      </c>
      <c r="R282" s="37">
        <f t="shared" si="5"/>
        <v>0</v>
      </c>
      <c r="S282" s="37">
        <f t="shared" si="6"/>
        <v>0</v>
      </c>
      <c r="T282" s="37">
        <f t="shared" si="7"/>
        <v>0</v>
      </c>
      <c r="U282" s="37">
        <f t="shared" si="8"/>
        <v>0</v>
      </c>
      <c r="V282" s="37">
        <f t="shared" si="9"/>
        <v>0</v>
      </c>
      <c r="W282" s="37">
        <f t="shared" si="10"/>
        <v>0</v>
      </c>
      <c r="X282" s="37">
        <f t="shared" si="11"/>
        <v>0</v>
      </c>
      <c r="Y282" s="29"/>
      <c r="Z282" s="19">
        <f t="shared" si="12"/>
        <v>0</v>
      </c>
      <c r="AA282" s="19">
        <f t="shared" si="13"/>
        <v>0</v>
      </c>
      <c r="AB282" s="19">
        <f t="shared" si="14"/>
        <v>0</v>
      </c>
      <c r="AD282" s="37">
        <v>21</v>
      </c>
      <c r="AE282" s="37">
        <f>G282*0.0273170731707317</f>
        <v>0</v>
      </c>
      <c r="AF282" s="37">
        <f>G282*(1-0.0273170731707317)</f>
        <v>0</v>
      </c>
      <c r="AG282" s="32" t="s">
        <v>13</v>
      </c>
      <c r="AM282" s="37">
        <f t="shared" si="15"/>
        <v>0</v>
      </c>
      <c r="AN282" s="37">
        <f t="shared" si="16"/>
        <v>0</v>
      </c>
      <c r="AO282" s="38" t="s">
        <v>894</v>
      </c>
      <c r="AP282" s="38" t="s">
        <v>920</v>
      </c>
      <c r="AQ282" s="29" t="s">
        <v>926</v>
      </c>
      <c r="AS282" s="37">
        <f t="shared" si="17"/>
        <v>0</v>
      </c>
      <c r="AT282" s="37">
        <f t="shared" si="18"/>
        <v>0</v>
      </c>
      <c r="AU282" s="37">
        <v>0</v>
      </c>
      <c r="AV282" s="37">
        <f t="shared" si="19"/>
        <v>0</v>
      </c>
    </row>
    <row r="283" spans="1:48" ht="12.75">
      <c r="A283" s="4" t="s">
        <v>120</v>
      </c>
      <c r="B283" s="4"/>
      <c r="C283" s="4" t="s">
        <v>330</v>
      </c>
      <c r="D283" s="4" t="s">
        <v>689</v>
      </c>
      <c r="E283" s="4" t="s">
        <v>840</v>
      </c>
      <c r="F283" s="19">
        <v>0.1</v>
      </c>
      <c r="G283" s="19">
        <v>0</v>
      </c>
      <c r="H283" s="19">
        <f t="shared" si="0"/>
        <v>0</v>
      </c>
      <c r="I283" s="19">
        <f t="shared" si="1"/>
        <v>0</v>
      </c>
      <c r="J283" s="19">
        <f t="shared" si="2"/>
        <v>0</v>
      </c>
      <c r="K283" s="19">
        <v>0</v>
      </c>
      <c r="L283" s="19">
        <f t="shared" si="3"/>
        <v>0</v>
      </c>
      <c r="M283" s="32" t="s">
        <v>863</v>
      </c>
      <c r="P283" s="37">
        <f t="shared" si="4"/>
        <v>0</v>
      </c>
      <c r="R283" s="37">
        <f t="shared" si="5"/>
        <v>0</v>
      </c>
      <c r="S283" s="37">
        <f t="shared" si="6"/>
        <v>0</v>
      </c>
      <c r="T283" s="37">
        <f t="shared" si="7"/>
        <v>0</v>
      </c>
      <c r="U283" s="37">
        <f t="shared" si="8"/>
        <v>0</v>
      </c>
      <c r="V283" s="37">
        <f t="shared" si="9"/>
        <v>0</v>
      </c>
      <c r="W283" s="37">
        <f t="shared" si="10"/>
        <v>0</v>
      </c>
      <c r="X283" s="37">
        <f t="shared" si="11"/>
        <v>0</v>
      </c>
      <c r="Y283" s="29"/>
      <c r="Z283" s="19">
        <f t="shared" si="12"/>
        <v>0</v>
      </c>
      <c r="AA283" s="19">
        <f t="shared" si="13"/>
        <v>0</v>
      </c>
      <c r="AB283" s="19">
        <f t="shared" si="14"/>
        <v>0</v>
      </c>
      <c r="AD283" s="37">
        <v>21</v>
      </c>
      <c r="AE283" s="37">
        <f>G283*0</f>
        <v>0</v>
      </c>
      <c r="AF283" s="37">
        <f>G283*(1-0)</f>
        <v>0</v>
      </c>
      <c r="AG283" s="32" t="s">
        <v>11</v>
      </c>
      <c r="AM283" s="37">
        <f t="shared" si="15"/>
        <v>0</v>
      </c>
      <c r="AN283" s="37">
        <f t="shared" si="16"/>
        <v>0</v>
      </c>
      <c r="AO283" s="38" t="s">
        <v>894</v>
      </c>
      <c r="AP283" s="38" t="s">
        <v>920</v>
      </c>
      <c r="AQ283" s="29" t="s">
        <v>926</v>
      </c>
      <c r="AS283" s="37">
        <f t="shared" si="17"/>
        <v>0</v>
      </c>
      <c r="AT283" s="37">
        <f t="shared" si="18"/>
        <v>0</v>
      </c>
      <c r="AU283" s="37">
        <v>0</v>
      </c>
      <c r="AV283" s="37">
        <f t="shared" si="19"/>
        <v>0</v>
      </c>
    </row>
    <row r="284" spans="1:37" ht="12.75">
      <c r="A284" s="5"/>
      <c r="B284" s="13"/>
      <c r="C284" s="13" t="s">
        <v>331</v>
      </c>
      <c r="D284" s="13" t="s">
        <v>690</v>
      </c>
      <c r="E284" s="5" t="s">
        <v>6</v>
      </c>
      <c r="F284" s="5" t="s">
        <v>6</v>
      </c>
      <c r="G284" s="5" t="s">
        <v>6</v>
      </c>
      <c r="H284" s="40">
        <f>SUM(H285:H295)</f>
        <v>0</v>
      </c>
      <c r="I284" s="40">
        <f>SUM(I285:I295)</f>
        <v>0</v>
      </c>
      <c r="J284" s="40">
        <f>H284+I284</f>
        <v>0</v>
      </c>
      <c r="K284" s="29"/>
      <c r="L284" s="40">
        <f>SUM(L285:L295)</f>
        <v>0.15540999999999996</v>
      </c>
      <c r="M284" s="29"/>
      <c r="Y284" s="29"/>
      <c r="AI284" s="40">
        <f>SUM(Z285:Z295)</f>
        <v>0</v>
      </c>
      <c r="AJ284" s="40">
        <f>SUM(AA285:AA295)</f>
        <v>0</v>
      </c>
      <c r="AK284" s="40">
        <f>SUM(AB285:AB295)</f>
        <v>0</v>
      </c>
    </row>
    <row r="285" spans="1:48" ht="12.75">
      <c r="A285" s="4" t="s">
        <v>121</v>
      </c>
      <c r="B285" s="4"/>
      <c r="C285" s="4" t="s">
        <v>332</v>
      </c>
      <c r="D285" s="4" t="s">
        <v>691</v>
      </c>
      <c r="E285" s="4" t="s">
        <v>837</v>
      </c>
      <c r="F285" s="19">
        <v>5</v>
      </c>
      <c r="G285" s="19">
        <v>0</v>
      </c>
      <c r="H285" s="19">
        <f>F285*AE285</f>
        <v>0</v>
      </c>
      <c r="I285" s="19">
        <f>J285-H285</f>
        <v>0</v>
      </c>
      <c r="J285" s="19">
        <f>F285*G285</f>
        <v>0</v>
      </c>
      <c r="K285" s="19">
        <v>0.00052</v>
      </c>
      <c r="L285" s="19">
        <f>F285*K285</f>
        <v>0.0026</v>
      </c>
      <c r="M285" s="32" t="s">
        <v>863</v>
      </c>
      <c r="P285" s="37">
        <f>IF(AG285="5",J285,0)</f>
        <v>0</v>
      </c>
      <c r="R285" s="37">
        <f>IF(AG285="1",H285,0)</f>
        <v>0</v>
      </c>
      <c r="S285" s="37">
        <f>IF(AG285="1",I285,0)</f>
        <v>0</v>
      </c>
      <c r="T285" s="37">
        <f>IF(AG285="7",H285,0)</f>
        <v>0</v>
      </c>
      <c r="U285" s="37">
        <f>IF(AG285="7",I285,0)</f>
        <v>0</v>
      </c>
      <c r="V285" s="37">
        <f>IF(AG285="2",H285,0)</f>
        <v>0</v>
      </c>
      <c r="W285" s="37">
        <f>IF(AG285="2",I285,0)</f>
        <v>0</v>
      </c>
      <c r="X285" s="37">
        <f>IF(AG285="0",J285,0)</f>
        <v>0</v>
      </c>
      <c r="Y285" s="29"/>
      <c r="Z285" s="19">
        <f>IF(AD285=0,J285,0)</f>
        <v>0</v>
      </c>
      <c r="AA285" s="19">
        <f>IF(AD285=15,J285,0)</f>
        <v>0</v>
      </c>
      <c r="AB285" s="19">
        <f>IF(AD285=21,J285,0)</f>
        <v>0</v>
      </c>
      <c r="AD285" s="37">
        <v>21</v>
      </c>
      <c r="AE285" s="37">
        <f>G285*0.288796068796069</f>
        <v>0</v>
      </c>
      <c r="AF285" s="37">
        <f>G285*(1-0.288796068796069)</f>
        <v>0</v>
      </c>
      <c r="AG285" s="32" t="s">
        <v>13</v>
      </c>
      <c r="AM285" s="37">
        <f>F285*AE285</f>
        <v>0</v>
      </c>
      <c r="AN285" s="37">
        <f>F285*AF285</f>
        <v>0</v>
      </c>
      <c r="AO285" s="38" t="s">
        <v>895</v>
      </c>
      <c r="AP285" s="38" t="s">
        <v>920</v>
      </c>
      <c r="AQ285" s="29" t="s">
        <v>926</v>
      </c>
      <c r="AS285" s="37">
        <f>AM285+AN285</f>
        <v>0</v>
      </c>
      <c r="AT285" s="37">
        <f>G285/(100-AU285)*100</f>
        <v>0</v>
      </c>
      <c r="AU285" s="37">
        <v>0</v>
      </c>
      <c r="AV285" s="37">
        <f>L285</f>
        <v>0.0026</v>
      </c>
    </row>
    <row r="286" spans="1:48" ht="12.75">
      <c r="A286" s="4" t="s">
        <v>122</v>
      </c>
      <c r="B286" s="4"/>
      <c r="C286" s="4" t="s">
        <v>333</v>
      </c>
      <c r="D286" s="4" t="s">
        <v>692</v>
      </c>
      <c r="E286" s="4" t="s">
        <v>837</v>
      </c>
      <c r="F286" s="19">
        <v>38</v>
      </c>
      <c r="G286" s="19">
        <v>0</v>
      </c>
      <c r="H286" s="19">
        <f>F286*AE286</f>
        <v>0</v>
      </c>
      <c r="I286" s="19">
        <f>J286-H286</f>
        <v>0</v>
      </c>
      <c r="J286" s="19">
        <f>F286*G286</f>
        <v>0</v>
      </c>
      <c r="K286" s="19">
        <v>0.00399</v>
      </c>
      <c r="L286" s="19">
        <f>F286*K286</f>
        <v>0.15161999999999998</v>
      </c>
      <c r="M286" s="32" t="s">
        <v>863</v>
      </c>
      <c r="P286" s="37">
        <f>IF(AG286="5",J286,0)</f>
        <v>0</v>
      </c>
      <c r="R286" s="37">
        <f>IF(AG286="1",H286,0)</f>
        <v>0</v>
      </c>
      <c r="S286" s="37">
        <f>IF(AG286="1",I286,0)</f>
        <v>0</v>
      </c>
      <c r="T286" s="37">
        <f>IF(AG286="7",H286,0)</f>
        <v>0</v>
      </c>
      <c r="U286" s="37">
        <f>IF(AG286="7",I286,0)</f>
        <v>0</v>
      </c>
      <c r="V286" s="37">
        <f>IF(AG286="2",H286,0)</f>
        <v>0</v>
      </c>
      <c r="W286" s="37">
        <f>IF(AG286="2",I286,0)</f>
        <v>0</v>
      </c>
      <c r="X286" s="37">
        <f>IF(AG286="0",J286,0)</f>
        <v>0</v>
      </c>
      <c r="Y286" s="29"/>
      <c r="Z286" s="19">
        <f>IF(AD286=0,J286,0)</f>
        <v>0</v>
      </c>
      <c r="AA286" s="19">
        <f>IF(AD286=15,J286,0)</f>
        <v>0</v>
      </c>
      <c r="AB286" s="19">
        <f>IF(AD286=21,J286,0)</f>
        <v>0</v>
      </c>
      <c r="AD286" s="37">
        <v>21</v>
      </c>
      <c r="AE286" s="37">
        <f>G286*0.217589082638362</f>
        <v>0</v>
      </c>
      <c r="AF286" s="37">
        <f>G286*(1-0.217589082638362)</f>
        <v>0</v>
      </c>
      <c r="AG286" s="32" t="s">
        <v>13</v>
      </c>
      <c r="AM286" s="37">
        <f>F286*AE286</f>
        <v>0</v>
      </c>
      <c r="AN286" s="37">
        <f>F286*AF286</f>
        <v>0</v>
      </c>
      <c r="AO286" s="38" t="s">
        <v>895</v>
      </c>
      <c r="AP286" s="38" t="s">
        <v>920</v>
      </c>
      <c r="AQ286" s="29" t="s">
        <v>926</v>
      </c>
      <c r="AS286" s="37">
        <f>AM286+AN286</f>
        <v>0</v>
      </c>
      <c r="AT286" s="37">
        <f>G286/(100-AU286)*100</f>
        <v>0</v>
      </c>
      <c r="AU286" s="37">
        <v>0</v>
      </c>
      <c r="AV286" s="37">
        <f>L286</f>
        <v>0.15161999999999998</v>
      </c>
    </row>
    <row r="287" spans="1:48" ht="12.75">
      <c r="A287" s="4" t="s">
        <v>123</v>
      </c>
      <c r="B287" s="4"/>
      <c r="C287" s="4" t="s">
        <v>334</v>
      </c>
      <c r="D287" s="4" t="s">
        <v>693</v>
      </c>
      <c r="E287" s="4" t="s">
        <v>837</v>
      </c>
      <c r="F287" s="19">
        <v>38</v>
      </c>
      <c r="G287" s="19">
        <v>0</v>
      </c>
      <c r="H287" s="19">
        <f>F287*AE287</f>
        <v>0</v>
      </c>
      <c r="I287" s="19">
        <f>J287-H287</f>
        <v>0</v>
      </c>
      <c r="J287" s="19">
        <f>F287*G287</f>
        <v>0</v>
      </c>
      <c r="K287" s="19">
        <v>2E-05</v>
      </c>
      <c r="L287" s="19">
        <f>F287*K287</f>
        <v>0.00076</v>
      </c>
      <c r="M287" s="32" t="s">
        <v>863</v>
      </c>
      <c r="P287" s="37">
        <f>IF(AG287="5",J287,0)</f>
        <v>0</v>
      </c>
      <c r="R287" s="37">
        <f>IF(AG287="1",H287,0)</f>
        <v>0</v>
      </c>
      <c r="S287" s="37">
        <f>IF(AG287="1",I287,0)</f>
        <v>0</v>
      </c>
      <c r="T287" s="37">
        <f>IF(AG287="7",H287,0)</f>
        <v>0</v>
      </c>
      <c r="U287" s="37">
        <f>IF(AG287="7",I287,0)</f>
        <v>0</v>
      </c>
      <c r="V287" s="37">
        <f>IF(AG287="2",H287,0)</f>
        <v>0</v>
      </c>
      <c r="W287" s="37">
        <f>IF(AG287="2",I287,0)</f>
        <v>0</v>
      </c>
      <c r="X287" s="37">
        <f>IF(AG287="0",J287,0)</f>
        <v>0</v>
      </c>
      <c r="Y287" s="29"/>
      <c r="Z287" s="19">
        <f>IF(AD287=0,J287,0)</f>
        <v>0</v>
      </c>
      <c r="AA287" s="19">
        <f>IF(AD287=15,J287,0)</f>
        <v>0</v>
      </c>
      <c r="AB287" s="19">
        <f>IF(AD287=21,J287,0)</f>
        <v>0</v>
      </c>
      <c r="AD287" s="37">
        <v>21</v>
      </c>
      <c r="AE287" s="37">
        <f>G287*0.238853503184713</f>
        <v>0</v>
      </c>
      <c r="AF287" s="37">
        <f>G287*(1-0.238853503184713)</f>
        <v>0</v>
      </c>
      <c r="AG287" s="32" t="s">
        <v>13</v>
      </c>
      <c r="AM287" s="37">
        <f>F287*AE287</f>
        <v>0</v>
      </c>
      <c r="AN287" s="37">
        <f>F287*AF287</f>
        <v>0</v>
      </c>
      <c r="AO287" s="38" t="s">
        <v>895</v>
      </c>
      <c r="AP287" s="38" t="s">
        <v>920</v>
      </c>
      <c r="AQ287" s="29" t="s">
        <v>926</v>
      </c>
      <c r="AS287" s="37">
        <f>AM287+AN287</f>
        <v>0</v>
      </c>
      <c r="AT287" s="37">
        <f>G287/(100-AU287)*100</f>
        <v>0</v>
      </c>
      <c r="AU287" s="37">
        <v>0</v>
      </c>
      <c r="AV287" s="37">
        <f>L287</f>
        <v>0.00076</v>
      </c>
    </row>
    <row r="288" ht="12.75">
      <c r="D288" s="16" t="s">
        <v>694</v>
      </c>
    </row>
    <row r="289" spans="1:48" ht="12.75">
      <c r="A289" s="4" t="s">
        <v>124</v>
      </c>
      <c r="B289" s="4"/>
      <c r="C289" s="4" t="s">
        <v>335</v>
      </c>
      <c r="D289" s="4" t="s">
        <v>693</v>
      </c>
      <c r="E289" s="4" t="s">
        <v>837</v>
      </c>
      <c r="F289" s="19">
        <v>5</v>
      </c>
      <c r="G289" s="19">
        <v>0</v>
      </c>
      <c r="H289" s="19">
        <f>F289*AE289</f>
        <v>0</v>
      </c>
      <c r="I289" s="19">
        <f>J289-H289</f>
        <v>0</v>
      </c>
      <c r="J289" s="19">
        <f>F289*G289</f>
        <v>0</v>
      </c>
      <c r="K289" s="19">
        <v>6E-05</v>
      </c>
      <c r="L289" s="19">
        <f>F289*K289</f>
        <v>0.00030000000000000003</v>
      </c>
      <c r="M289" s="32" t="s">
        <v>863</v>
      </c>
      <c r="P289" s="37">
        <f>IF(AG289="5",J289,0)</f>
        <v>0</v>
      </c>
      <c r="R289" s="37">
        <f>IF(AG289="1",H289,0)</f>
        <v>0</v>
      </c>
      <c r="S289" s="37">
        <f>IF(AG289="1",I289,0)</f>
        <v>0</v>
      </c>
      <c r="T289" s="37">
        <f>IF(AG289="7",H289,0)</f>
        <v>0</v>
      </c>
      <c r="U289" s="37">
        <f>IF(AG289="7",I289,0)</f>
        <v>0</v>
      </c>
      <c r="V289" s="37">
        <f>IF(AG289="2",H289,0)</f>
        <v>0</v>
      </c>
      <c r="W289" s="37">
        <f>IF(AG289="2",I289,0)</f>
        <v>0</v>
      </c>
      <c r="X289" s="37">
        <f>IF(AG289="0",J289,0)</f>
        <v>0</v>
      </c>
      <c r="Y289" s="29"/>
      <c r="Z289" s="19">
        <f>IF(AD289=0,J289,0)</f>
        <v>0</v>
      </c>
      <c r="AA289" s="19">
        <f>IF(AD289=15,J289,0)</f>
        <v>0</v>
      </c>
      <c r="AB289" s="19">
        <f>IF(AD289=21,J289,0)</f>
        <v>0</v>
      </c>
      <c r="AD289" s="37">
        <v>21</v>
      </c>
      <c r="AE289" s="37">
        <f>G289*0.266411042944785</f>
        <v>0</v>
      </c>
      <c r="AF289" s="37">
        <f>G289*(1-0.266411042944785)</f>
        <v>0</v>
      </c>
      <c r="AG289" s="32" t="s">
        <v>13</v>
      </c>
      <c r="AM289" s="37">
        <f>F289*AE289</f>
        <v>0</v>
      </c>
      <c r="AN289" s="37">
        <f>F289*AF289</f>
        <v>0</v>
      </c>
      <c r="AO289" s="38" t="s">
        <v>895</v>
      </c>
      <c r="AP289" s="38" t="s">
        <v>920</v>
      </c>
      <c r="AQ289" s="29" t="s">
        <v>926</v>
      </c>
      <c r="AS289" s="37">
        <f>AM289+AN289</f>
        <v>0</v>
      </c>
      <c r="AT289" s="37">
        <f>G289/(100-AU289)*100</f>
        <v>0</v>
      </c>
      <c r="AU289" s="37">
        <v>0</v>
      </c>
      <c r="AV289" s="37">
        <f>L289</f>
        <v>0.00030000000000000003</v>
      </c>
    </row>
    <row r="290" ht="12.75">
      <c r="D290" s="16" t="s">
        <v>695</v>
      </c>
    </row>
    <row r="291" spans="1:48" ht="12.75">
      <c r="A291" s="4" t="s">
        <v>125</v>
      </c>
      <c r="B291" s="4"/>
      <c r="C291" s="4" t="s">
        <v>336</v>
      </c>
      <c r="D291" s="4" t="s">
        <v>696</v>
      </c>
      <c r="E291" s="4" t="s">
        <v>839</v>
      </c>
      <c r="F291" s="19">
        <v>3</v>
      </c>
      <c r="G291" s="19">
        <v>0</v>
      </c>
      <c r="H291" s="19">
        <f>F291*AE291</f>
        <v>0</v>
      </c>
      <c r="I291" s="19">
        <f>J291-H291</f>
        <v>0</v>
      </c>
      <c r="J291" s="19">
        <f>F291*G291</f>
        <v>0</v>
      </c>
      <c r="K291" s="19">
        <v>0</v>
      </c>
      <c r="L291" s="19">
        <f>F291*K291</f>
        <v>0</v>
      </c>
      <c r="M291" s="32" t="s">
        <v>863</v>
      </c>
      <c r="P291" s="37">
        <f>IF(AG291="5",J291,0)</f>
        <v>0</v>
      </c>
      <c r="R291" s="37">
        <f>IF(AG291="1",H291,0)</f>
        <v>0</v>
      </c>
      <c r="S291" s="37">
        <f>IF(AG291="1",I291,0)</f>
        <v>0</v>
      </c>
      <c r="T291" s="37">
        <f>IF(AG291="7",H291,0)</f>
        <v>0</v>
      </c>
      <c r="U291" s="37">
        <f>IF(AG291="7",I291,0)</f>
        <v>0</v>
      </c>
      <c r="V291" s="37">
        <f>IF(AG291="2",H291,0)</f>
        <v>0</v>
      </c>
      <c r="W291" s="37">
        <f>IF(AG291="2",I291,0)</f>
        <v>0</v>
      </c>
      <c r="X291" s="37">
        <f>IF(AG291="0",J291,0)</f>
        <v>0</v>
      </c>
      <c r="Y291" s="29"/>
      <c r="Z291" s="19">
        <f>IF(AD291=0,J291,0)</f>
        <v>0</v>
      </c>
      <c r="AA291" s="19">
        <f>IF(AD291=15,J291,0)</f>
        <v>0</v>
      </c>
      <c r="AB291" s="19">
        <f>IF(AD291=21,J291,0)</f>
        <v>0</v>
      </c>
      <c r="AD291" s="37">
        <v>21</v>
      </c>
      <c r="AE291" s="37">
        <f>G291*0</f>
        <v>0</v>
      </c>
      <c r="AF291" s="37">
        <f>G291*(1-0)</f>
        <v>0</v>
      </c>
      <c r="AG291" s="32" t="s">
        <v>13</v>
      </c>
      <c r="AM291" s="37">
        <f>F291*AE291</f>
        <v>0</v>
      </c>
      <c r="AN291" s="37">
        <f>F291*AF291</f>
        <v>0</v>
      </c>
      <c r="AO291" s="38" t="s">
        <v>895</v>
      </c>
      <c r="AP291" s="38" t="s">
        <v>920</v>
      </c>
      <c r="AQ291" s="29" t="s">
        <v>926</v>
      </c>
      <c r="AS291" s="37">
        <f>AM291+AN291</f>
        <v>0</v>
      </c>
      <c r="AT291" s="37">
        <f>G291/(100-AU291)*100</f>
        <v>0</v>
      </c>
      <c r="AU291" s="37">
        <v>0</v>
      </c>
      <c r="AV291" s="37">
        <f>L291</f>
        <v>0</v>
      </c>
    </row>
    <row r="292" spans="1:48" ht="12.75">
      <c r="A292" s="4" t="s">
        <v>126</v>
      </c>
      <c r="B292" s="4"/>
      <c r="C292" s="4" t="s">
        <v>337</v>
      </c>
      <c r="D292" s="4" t="s">
        <v>697</v>
      </c>
      <c r="E292" s="4" t="s">
        <v>844</v>
      </c>
      <c r="F292" s="19">
        <v>3</v>
      </c>
      <c r="G292" s="19">
        <v>0</v>
      </c>
      <c r="H292" s="19">
        <f>F292*AE292</f>
        <v>0</v>
      </c>
      <c r="I292" s="19">
        <f>J292-H292</f>
        <v>0</v>
      </c>
      <c r="J292" s="19">
        <f>F292*G292</f>
        <v>0</v>
      </c>
      <c r="K292" s="19">
        <v>0</v>
      </c>
      <c r="L292" s="19">
        <f>F292*K292</f>
        <v>0</v>
      </c>
      <c r="M292" s="32" t="s">
        <v>863</v>
      </c>
      <c r="P292" s="37">
        <f>IF(AG292="5",J292,0)</f>
        <v>0</v>
      </c>
      <c r="R292" s="37">
        <f>IF(AG292="1",H292,0)</f>
        <v>0</v>
      </c>
      <c r="S292" s="37">
        <f>IF(AG292="1",I292,0)</f>
        <v>0</v>
      </c>
      <c r="T292" s="37">
        <f>IF(AG292="7",H292,0)</f>
        <v>0</v>
      </c>
      <c r="U292" s="37">
        <f>IF(AG292="7",I292,0)</f>
        <v>0</v>
      </c>
      <c r="V292" s="37">
        <f>IF(AG292="2",H292,0)</f>
        <v>0</v>
      </c>
      <c r="W292" s="37">
        <f>IF(AG292="2",I292,0)</f>
        <v>0</v>
      </c>
      <c r="X292" s="37">
        <f>IF(AG292="0",J292,0)</f>
        <v>0</v>
      </c>
      <c r="Y292" s="29"/>
      <c r="Z292" s="19">
        <f>IF(AD292=0,J292,0)</f>
        <v>0</v>
      </c>
      <c r="AA292" s="19">
        <f>IF(AD292=15,J292,0)</f>
        <v>0</v>
      </c>
      <c r="AB292" s="19">
        <f>IF(AD292=21,J292,0)</f>
        <v>0</v>
      </c>
      <c r="AD292" s="37">
        <v>21</v>
      </c>
      <c r="AE292" s="37">
        <f>G292*0.698961937716263</f>
        <v>0</v>
      </c>
      <c r="AF292" s="37">
        <f>G292*(1-0.698961937716263)</f>
        <v>0</v>
      </c>
      <c r="AG292" s="32" t="s">
        <v>13</v>
      </c>
      <c r="AM292" s="37">
        <f>F292*AE292</f>
        <v>0</v>
      </c>
      <c r="AN292" s="37">
        <f>F292*AF292</f>
        <v>0</v>
      </c>
      <c r="AO292" s="38" t="s">
        <v>895</v>
      </c>
      <c r="AP292" s="38" t="s">
        <v>920</v>
      </c>
      <c r="AQ292" s="29" t="s">
        <v>926</v>
      </c>
      <c r="AS292" s="37">
        <f>AM292+AN292</f>
        <v>0</v>
      </c>
      <c r="AT292" s="37">
        <f>G292/(100-AU292)*100</f>
        <v>0</v>
      </c>
      <c r="AU292" s="37">
        <v>0</v>
      </c>
      <c r="AV292" s="37">
        <f>L292</f>
        <v>0</v>
      </c>
    </row>
    <row r="293" spans="1:48" ht="12.75">
      <c r="A293" s="4" t="s">
        <v>127</v>
      </c>
      <c r="B293" s="4"/>
      <c r="C293" s="4" t="s">
        <v>338</v>
      </c>
      <c r="D293" s="4" t="s">
        <v>698</v>
      </c>
      <c r="E293" s="4" t="s">
        <v>844</v>
      </c>
      <c r="F293" s="19">
        <v>1</v>
      </c>
      <c r="G293" s="19">
        <v>0</v>
      </c>
      <c r="H293" s="19">
        <f>F293*AE293</f>
        <v>0</v>
      </c>
      <c r="I293" s="19">
        <f>J293-H293</f>
        <v>0</v>
      </c>
      <c r="J293" s="19">
        <f>F293*G293</f>
        <v>0</v>
      </c>
      <c r="K293" s="19">
        <v>0</v>
      </c>
      <c r="L293" s="19">
        <f>F293*K293</f>
        <v>0</v>
      </c>
      <c r="M293" s="32" t="s">
        <v>863</v>
      </c>
      <c r="P293" s="37">
        <f>IF(AG293="5",J293,0)</f>
        <v>0</v>
      </c>
      <c r="R293" s="37">
        <f>IF(AG293="1",H293,0)</f>
        <v>0</v>
      </c>
      <c r="S293" s="37">
        <f>IF(AG293="1",I293,0)</f>
        <v>0</v>
      </c>
      <c r="T293" s="37">
        <f>IF(AG293="7",H293,0)</f>
        <v>0</v>
      </c>
      <c r="U293" s="37">
        <f>IF(AG293="7",I293,0)</f>
        <v>0</v>
      </c>
      <c r="V293" s="37">
        <f>IF(AG293="2",H293,0)</f>
        <v>0</v>
      </c>
      <c r="W293" s="37">
        <f>IF(AG293="2",I293,0)</f>
        <v>0</v>
      </c>
      <c r="X293" s="37">
        <f>IF(AG293="0",J293,0)</f>
        <v>0</v>
      </c>
      <c r="Y293" s="29"/>
      <c r="Z293" s="19">
        <f>IF(AD293=0,J293,0)</f>
        <v>0</v>
      </c>
      <c r="AA293" s="19">
        <f>IF(AD293=15,J293,0)</f>
        <v>0</v>
      </c>
      <c r="AB293" s="19">
        <f>IF(AD293=21,J293,0)</f>
        <v>0</v>
      </c>
      <c r="AD293" s="37">
        <v>21</v>
      </c>
      <c r="AE293" s="37">
        <f>G293*0.646341463414634</f>
        <v>0</v>
      </c>
      <c r="AF293" s="37">
        <f>G293*(1-0.646341463414634)</f>
        <v>0</v>
      </c>
      <c r="AG293" s="32" t="s">
        <v>13</v>
      </c>
      <c r="AM293" s="37">
        <f>F293*AE293</f>
        <v>0</v>
      </c>
      <c r="AN293" s="37">
        <f>F293*AF293</f>
        <v>0</v>
      </c>
      <c r="AO293" s="38" t="s">
        <v>895</v>
      </c>
      <c r="AP293" s="38" t="s">
        <v>920</v>
      </c>
      <c r="AQ293" s="29" t="s">
        <v>926</v>
      </c>
      <c r="AS293" s="37">
        <f>AM293+AN293</f>
        <v>0</v>
      </c>
      <c r="AT293" s="37">
        <f>G293/(100-AU293)*100</f>
        <v>0</v>
      </c>
      <c r="AU293" s="37">
        <v>0</v>
      </c>
      <c r="AV293" s="37">
        <f>L293</f>
        <v>0</v>
      </c>
    </row>
    <row r="294" spans="1:48" ht="12.75">
      <c r="A294" s="4" t="s">
        <v>128</v>
      </c>
      <c r="B294" s="4"/>
      <c r="C294" s="4" t="s">
        <v>339</v>
      </c>
      <c r="D294" s="4" t="s">
        <v>699</v>
      </c>
      <c r="E294" s="4" t="s">
        <v>839</v>
      </c>
      <c r="F294" s="19">
        <v>1</v>
      </c>
      <c r="G294" s="19">
        <v>0</v>
      </c>
      <c r="H294" s="19">
        <f>F294*AE294</f>
        <v>0</v>
      </c>
      <c r="I294" s="19">
        <f>J294-H294</f>
        <v>0</v>
      </c>
      <c r="J294" s="19">
        <f>F294*G294</f>
        <v>0</v>
      </c>
      <c r="K294" s="19">
        <v>0.00013</v>
      </c>
      <c r="L294" s="19">
        <f>F294*K294</f>
        <v>0.00013</v>
      </c>
      <c r="M294" s="32" t="s">
        <v>863</v>
      </c>
      <c r="P294" s="37">
        <f>IF(AG294="5",J294,0)</f>
        <v>0</v>
      </c>
      <c r="R294" s="37">
        <f>IF(AG294="1",H294,0)</f>
        <v>0</v>
      </c>
      <c r="S294" s="37">
        <f>IF(AG294="1",I294,0)</f>
        <v>0</v>
      </c>
      <c r="T294" s="37">
        <f>IF(AG294="7",H294,0)</f>
        <v>0</v>
      </c>
      <c r="U294" s="37">
        <f>IF(AG294="7",I294,0)</f>
        <v>0</v>
      </c>
      <c r="V294" s="37">
        <f>IF(AG294="2",H294,0)</f>
        <v>0</v>
      </c>
      <c r="W294" s="37">
        <f>IF(AG294="2",I294,0)</f>
        <v>0</v>
      </c>
      <c r="X294" s="37">
        <f>IF(AG294="0",J294,0)</f>
        <v>0</v>
      </c>
      <c r="Y294" s="29"/>
      <c r="Z294" s="19">
        <f>IF(AD294=0,J294,0)</f>
        <v>0</v>
      </c>
      <c r="AA294" s="19">
        <f>IF(AD294=15,J294,0)</f>
        <v>0</v>
      </c>
      <c r="AB294" s="19">
        <f>IF(AD294=21,J294,0)</f>
        <v>0</v>
      </c>
      <c r="AD294" s="37">
        <v>21</v>
      </c>
      <c r="AE294" s="37">
        <f>G294*0.6970674798766</f>
        <v>0</v>
      </c>
      <c r="AF294" s="37">
        <f>G294*(1-0.6970674798766)</f>
        <v>0</v>
      </c>
      <c r="AG294" s="32" t="s">
        <v>13</v>
      </c>
      <c r="AM294" s="37">
        <f>F294*AE294</f>
        <v>0</v>
      </c>
      <c r="AN294" s="37">
        <f>F294*AF294</f>
        <v>0</v>
      </c>
      <c r="AO294" s="38" t="s">
        <v>895</v>
      </c>
      <c r="AP294" s="38" t="s">
        <v>920</v>
      </c>
      <c r="AQ294" s="29" t="s">
        <v>926</v>
      </c>
      <c r="AS294" s="37">
        <f>AM294+AN294</f>
        <v>0</v>
      </c>
      <c r="AT294" s="37">
        <f>G294/(100-AU294)*100</f>
        <v>0</v>
      </c>
      <c r="AU294" s="37">
        <v>0</v>
      </c>
      <c r="AV294" s="37">
        <f>L294</f>
        <v>0.00013</v>
      </c>
    </row>
    <row r="295" spans="1:48" ht="12.75">
      <c r="A295" s="4" t="s">
        <v>129</v>
      </c>
      <c r="B295" s="4"/>
      <c r="C295" s="4" t="s">
        <v>340</v>
      </c>
      <c r="D295" s="4" t="s">
        <v>700</v>
      </c>
      <c r="E295" s="4" t="s">
        <v>840</v>
      </c>
      <c r="F295" s="19">
        <v>0.16</v>
      </c>
      <c r="G295" s="19">
        <v>0</v>
      </c>
      <c r="H295" s="19">
        <f>F295*AE295</f>
        <v>0</v>
      </c>
      <c r="I295" s="19">
        <f>J295-H295</f>
        <v>0</v>
      </c>
      <c r="J295" s="19">
        <f>F295*G295</f>
        <v>0</v>
      </c>
      <c r="K295" s="19">
        <v>0</v>
      </c>
      <c r="L295" s="19">
        <f>F295*K295</f>
        <v>0</v>
      </c>
      <c r="M295" s="32" t="s">
        <v>863</v>
      </c>
      <c r="P295" s="37">
        <f>IF(AG295="5",J295,0)</f>
        <v>0</v>
      </c>
      <c r="R295" s="37">
        <f>IF(AG295="1",H295,0)</f>
        <v>0</v>
      </c>
      <c r="S295" s="37">
        <f>IF(AG295="1",I295,0)</f>
        <v>0</v>
      </c>
      <c r="T295" s="37">
        <f>IF(AG295="7",H295,0)</f>
        <v>0</v>
      </c>
      <c r="U295" s="37">
        <f>IF(AG295="7",I295,0)</f>
        <v>0</v>
      </c>
      <c r="V295" s="37">
        <f>IF(AG295="2",H295,0)</f>
        <v>0</v>
      </c>
      <c r="W295" s="37">
        <f>IF(AG295="2",I295,0)</f>
        <v>0</v>
      </c>
      <c r="X295" s="37">
        <f>IF(AG295="0",J295,0)</f>
        <v>0</v>
      </c>
      <c r="Y295" s="29"/>
      <c r="Z295" s="19">
        <f>IF(AD295=0,J295,0)</f>
        <v>0</v>
      </c>
      <c r="AA295" s="19">
        <f>IF(AD295=15,J295,0)</f>
        <v>0</v>
      </c>
      <c r="AB295" s="19">
        <f>IF(AD295=21,J295,0)</f>
        <v>0</v>
      </c>
      <c r="AD295" s="37">
        <v>21</v>
      </c>
      <c r="AE295" s="37">
        <f>G295*0</f>
        <v>0</v>
      </c>
      <c r="AF295" s="37">
        <f>G295*(1-0)</f>
        <v>0</v>
      </c>
      <c r="AG295" s="32" t="s">
        <v>11</v>
      </c>
      <c r="AM295" s="37">
        <f>F295*AE295</f>
        <v>0</v>
      </c>
      <c r="AN295" s="37">
        <f>F295*AF295</f>
        <v>0</v>
      </c>
      <c r="AO295" s="38" t="s">
        <v>895</v>
      </c>
      <c r="AP295" s="38" t="s">
        <v>920</v>
      </c>
      <c r="AQ295" s="29" t="s">
        <v>926</v>
      </c>
      <c r="AS295" s="37">
        <f>AM295+AN295</f>
        <v>0</v>
      </c>
      <c r="AT295" s="37">
        <f>G295/(100-AU295)*100</f>
        <v>0</v>
      </c>
      <c r="AU295" s="37">
        <v>0</v>
      </c>
      <c r="AV295" s="37">
        <f>L295</f>
        <v>0</v>
      </c>
    </row>
    <row r="296" spans="1:37" ht="12.75">
      <c r="A296" s="5"/>
      <c r="B296" s="13"/>
      <c r="C296" s="13" t="s">
        <v>341</v>
      </c>
      <c r="D296" s="13" t="s">
        <v>701</v>
      </c>
      <c r="E296" s="5" t="s">
        <v>6</v>
      </c>
      <c r="F296" s="5" t="s">
        <v>6</v>
      </c>
      <c r="G296" s="5" t="s">
        <v>6</v>
      </c>
      <c r="H296" s="40">
        <f>SUM(H297:H304)</f>
        <v>0</v>
      </c>
      <c r="I296" s="40">
        <f>SUM(I297:I304)</f>
        <v>0</v>
      </c>
      <c r="J296" s="40">
        <f>H296+I296</f>
        <v>0</v>
      </c>
      <c r="K296" s="29"/>
      <c r="L296" s="40">
        <f>SUM(L297:L304)</f>
        <v>0.09305999999999999</v>
      </c>
      <c r="M296" s="29"/>
      <c r="Y296" s="29"/>
      <c r="AI296" s="40">
        <f>SUM(Z297:Z304)</f>
        <v>0</v>
      </c>
      <c r="AJ296" s="40">
        <f>SUM(AA297:AA304)</f>
        <v>0</v>
      </c>
      <c r="AK296" s="40">
        <f>SUM(AB297:AB304)</f>
        <v>0</v>
      </c>
    </row>
    <row r="297" spans="1:48" ht="12.75">
      <c r="A297" s="4" t="s">
        <v>130</v>
      </c>
      <c r="B297" s="4"/>
      <c r="C297" s="4" t="s">
        <v>342</v>
      </c>
      <c r="D297" s="4" t="s">
        <v>702</v>
      </c>
      <c r="E297" s="4" t="s">
        <v>844</v>
      </c>
      <c r="F297" s="19">
        <v>1</v>
      </c>
      <c r="G297" s="19">
        <v>0</v>
      </c>
      <c r="H297" s="19">
        <f aca="true" t="shared" si="20" ref="H297:H304">F297*AE297</f>
        <v>0</v>
      </c>
      <c r="I297" s="19">
        <f aca="true" t="shared" si="21" ref="I297:I304">J297-H297</f>
        <v>0</v>
      </c>
      <c r="J297" s="19">
        <f aca="true" t="shared" si="22" ref="J297:J304">F297*G297</f>
        <v>0</v>
      </c>
      <c r="K297" s="19">
        <v>0.01772</v>
      </c>
      <c r="L297" s="19">
        <f aca="true" t="shared" si="23" ref="L297:L304">F297*K297</f>
        <v>0.01772</v>
      </c>
      <c r="M297" s="32" t="s">
        <v>863</v>
      </c>
      <c r="P297" s="37">
        <f aca="true" t="shared" si="24" ref="P297:P304">IF(AG297="5",J297,0)</f>
        <v>0</v>
      </c>
      <c r="R297" s="37">
        <f aca="true" t="shared" si="25" ref="R297:R304">IF(AG297="1",H297,0)</f>
        <v>0</v>
      </c>
      <c r="S297" s="37">
        <f aca="true" t="shared" si="26" ref="S297:S304">IF(AG297="1",I297,0)</f>
        <v>0</v>
      </c>
      <c r="T297" s="37">
        <f aca="true" t="shared" si="27" ref="T297:T304">IF(AG297="7",H297,0)</f>
        <v>0</v>
      </c>
      <c r="U297" s="37">
        <f aca="true" t="shared" si="28" ref="U297:U304">IF(AG297="7",I297,0)</f>
        <v>0</v>
      </c>
      <c r="V297" s="37">
        <f aca="true" t="shared" si="29" ref="V297:V304">IF(AG297="2",H297,0)</f>
        <v>0</v>
      </c>
      <c r="W297" s="37">
        <f aca="true" t="shared" si="30" ref="W297:W304">IF(AG297="2",I297,0)</f>
        <v>0</v>
      </c>
      <c r="X297" s="37">
        <f aca="true" t="shared" si="31" ref="X297:X304">IF(AG297="0",J297,0)</f>
        <v>0</v>
      </c>
      <c r="Y297" s="29"/>
      <c r="Z297" s="19">
        <f aca="true" t="shared" si="32" ref="Z297:Z304">IF(AD297=0,J297,0)</f>
        <v>0</v>
      </c>
      <c r="AA297" s="19">
        <f aca="true" t="shared" si="33" ref="AA297:AA304">IF(AD297=15,J297,0)</f>
        <v>0</v>
      </c>
      <c r="AB297" s="19">
        <f aca="true" t="shared" si="34" ref="AB297:AB304">IF(AD297=21,J297,0)</f>
        <v>0</v>
      </c>
      <c r="AD297" s="37">
        <v>21</v>
      </c>
      <c r="AE297" s="37">
        <f>G297*0.885293213828425</f>
        <v>0</v>
      </c>
      <c r="AF297" s="37">
        <f>G297*(1-0.885293213828425)</f>
        <v>0</v>
      </c>
      <c r="AG297" s="32" t="s">
        <v>13</v>
      </c>
      <c r="AM297" s="37">
        <f aca="true" t="shared" si="35" ref="AM297:AM304">F297*AE297</f>
        <v>0</v>
      </c>
      <c r="AN297" s="37">
        <f aca="true" t="shared" si="36" ref="AN297:AN304">F297*AF297</f>
        <v>0</v>
      </c>
      <c r="AO297" s="38" t="s">
        <v>896</v>
      </c>
      <c r="AP297" s="38" t="s">
        <v>920</v>
      </c>
      <c r="AQ297" s="29" t="s">
        <v>926</v>
      </c>
      <c r="AS297" s="37">
        <f aca="true" t="shared" si="37" ref="AS297:AS304">AM297+AN297</f>
        <v>0</v>
      </c>
      <c r="AT297" s="37">
        <f aca="true" t="shared" si="38" ref="AT297:AT304">G297/(100-AU297)*100</f>
        <v>0</v>
      </c>
      <c r="AU297" s="37">
        <v>0</v>
      </c>
      <c r="AV297" s="37">
        <f aca="true" t="shared" si="39" ref="AV297:AV304">L297</f>
        <v>0.01772</v>
      </c>
    </row>
    <row r="298" spans="1:48" ht="12.75">
      <c r="A298" s="4" t="s">
        <v>131</v>
      </c>
      <c r="B298" s="4"/>
      <c r="C298" s="4" t="s">
        <v>343</v>
      </c>
      <c r="D298" s="4" t="s">
        <v>703</v>
      </c>
      <c r="E298" s="4" t="s">
        <v>844</v>
      </c>
      <c r="F298" s="19">
        <v>2</v>
      </c>
      <c r="G298" s="19">
        <v>0</v>
      </c>
      <c r="H298" s="19">
        <f t="shared" si="20"/>
        <v>0</v>
      </c>
      <c r="I298" s="19">
        <f t="shared" si="21"/>
        <v>0</v>
      </c>
      <c r="J298" s="19">
        <f t="shared" si="22"/>
        <v>0</v>
      </c>
      <c r="K298" s="19">
        <v>0.009</v>
      </c>
      <c r="L298" s="19">
        <f t="shared" si="23"/>
        <v>0.018</v>
      </c>
      <c r="M298" s="32" t="s">
        <v>863</v>
      </c>
      <c r="P298" s="37">
        <f t="shared" si="24"/>
        <v>0</v>
      </c>
      <c r="R298" s="37">
        <f t="shared" si="25"/>
        <v>0</v>
      </c>
      <c r="S298" s="37">
        <f t="shared" si="26"/>
        <v>0</v>
      </c>
      <c r="T298" s="37">
        <f t="shared" si="27"/>
        <v>0</v>
      </c>
      <c r="U298" s="37">
        <f t="shared" si="28"/>
        <v>0</v>
      </c>
      <c r="V298" s="37">
        <f t="shared" si="29"/>
        <v>0</v>
      </c>
      <c r="W298" s="37">
        <f t="shared" si="30"/>
        <v>0</v>
      </c>
      <c r="X298" s="37">
        <f t="shared" si="31"/>
        <v>0</v>
      </c>
      <c r="Y298" s="29"/>
      <c r="Z298" s="19">
        <f t="shared" si="32"/>
        <v>0</v>
      </c>
      <c r="AA298" s="19">
        <f t="shared" si="33"/>
        <v>0</v>
      </c>
      <c r="AB298" s="19">
        <f t="shared" si="34"/>
        <v>0</v>
      </c>
      <c r="AD298" s="37">
        <v>21</v>
      </c>
      <c r="AE298" s="37">
        <f>G298*0.703004357050228</f>
        <v>0</v>
      </c>
      <c r="AF298" s="37">
        <f>G298*(1-0.703004357050228)</f>
        <v>0</v>
      </c>
      <c r="AG298" s="32" t="s">
        <v>13</v>
      </c>
      <c r="AM298" s="37">
        <f t="shared" si="35"/>
        <v>0</v>
      </c>
      <c r="AN298" s="37">
        <f t="shared" si="36"/>
        <v>0</v>
      </c>
      <c r="AO298" s="38" t="s">
        <v>896</v>
      </c>
      <c r="AP298" s="38" t="s">
        <v>920</v>
      </c>
      <c r="AQ298" s="29" t="s">
        <v>926</v>
      </c>
      <c r="AS298" s="37">
        <f t="shared" si="37"/>
        <v>0</v>
      </c>
      <c r="AT298" s="37">
        <f t="shared" si="38"/>
        <v>0</v>
      </c>
      <c r="AU298" s="37">
        <v>0</v>
      </c>
      <c r="AV298" s="37">
        <f t="shared" si="39"/>
        <v>0.018</v>
      </c>
    </row>
    <row r="299" spans="1:48" ht="12.75">
      <c r="A299" s="4" t="s">
        <v>132</v>
      </c>
      <c r="B299" s="4"/>
      <c r="C299" s="4" t="s">
        <v>344</v>
      </c>
      <c r="D299" s="4" t="s">
        <v>704</v>
      </c>
      <c r="E299" s="4" t="s">
        <v>844</v>
      </c>
      <c r="F299" s="19">
        <v>1</v>
      </c>
      <c r="G299" s="19">
        <v>0</v>
      </c>
      <c r="H299" s="19">
        <f t="shared" si="20"/>
        <v>0</v>
      </c>
      <c r="I299" s="19">
        <f t="shared" si="21"/>
        <v>0</v>
      </c>
      <c r="J299" s="19">
        <f t="shared" si="22"/>
        <v>0</v>
      </c>
      <c r="K299" s="19">
        <v>0</v>
      </c>
      <c r="L299" s="19">
        <f t="shared" si="23"/>
        <v>0</v>
      </c>
      <c r="M299" s="32" t="s">
        <v>863</v>
      </c>
      <c r="P299" s="37">
        <f t="shared" si="24"/>
        <v>0</v>
      </c>
      <c r="R299" s="37">
        <f t="shared" si="25"/>
        <v>0</v>
      </c>
      <c r="S299" s="37">
        <f t="shared" si="26"/>
        <v>0</v>
      </c>
      <c r="T299" s="37">
        <f t="shared" si="27"/>
        <v>0</v>
      </c>
      <c r="U299" s="37">
        <f t="shared" si="28"/>
        <v>0</v>
      </c>
      <c r="V299" s="37">
        <f t="shared" si="29"/>
        <v>0</v>
      </c>
      <c r="W299" s="37">
        <f t="shared" si="30"/>
        <v>0</v>
      </c>
      <c r="X299" s="37">
        <f t="shared" si="31"/>
        <v>0</v>
      </c>
      <c r="Y299" s="29"/>
      <c r="Z299" s="19">
        <f t="shared" si="32"/>
        <v>0</v>
      </c>
      <c r="AA299" s="19">
        <f t="shared" si="33"/>
        <v>0</v>
      </c>
      <c r="AB299" s="19">
        <f t="shared" si="34"/>
        <v>0</v>
      </c>
      <c r="AD299" s="37">
        <v>21</v>
      </c>
      <c r="AE299" s="37">
        <f>G299*0</f>
        <v>0</v>
      </c>
      <c r="AF299" s="37">
        <f>G299*(1-0)</f>
        <v>0</v>
      </c>
      <c r="AG299" s="32" t="s">
        <v>13</v>
      </c>
      <c r="AM299" s="37">
        <f t="shared" si="35"/>
        <v>0</v>
      </c>
      <c r="AN299" s="37">
        <f t="shared" si="36"/>
        <v>0</v>
      </c>
      <c r="AO299" s="38" t="s">
        <v>896</v>
      </c>
      <c r="AP299" s="38" t="s">
        <v>920</v>
      </c>
      <c r="AQ299" s="29" t="s">
        <v>926</v>
      </c>
      <c r="AS299" s="37">
        <f t="shared" si="37"/>
        <v>0</v>
      </c>
      <c r="AT299" s="37">
        <f t="shared" si="38"/>
        <v>0</v>
      </c>
      <c r="AU299" s="37">
        <v>0</v>
      </c>
      <c r="AV299" s="37">
        <f t="shared" si="39"/>
        <v>0</v>
      </c>
    </row>
    <row r="300" spans="1:48" ht="12.75">
      <c r="A300" s="6" t="s">
        <v>133</v>
      </c>
      <c r="B300" s="6"/>
      <c r="C300" s="6" t="s">
        <v>345</v>
      </c>
      <c r="D300" s="6" t="s">
        <v>705</v>
      </c>
      <c r="E300" s="6" t="s">
        <v>839</v>
      </c>
      <c r="F300" s="21">
        <v>1</v>
      </c>
      <c r="G300" s="21">
        <v>0</v>
      </c>
      <c r="H300" s="21">
        <f t="shared" si="20"/>
        <v>0</v>
      </c>
      <c r="I300" s="21">
        <f t="shared" si="21"/>
        <v>0</v>
      </c>
      <c r="J300" s="21">
        <f t="shared" si="22"/>
        <v>0</v>
      </c>
      <c r="K300" s="21">
        <v>0.00738</v>
      </c>
      <c r="L300" s="21">
        <f t="shared" si="23"/>
        <v>0.00738</v>
      </c>
      <c r="M300" s="33" t="s">
        <v>863</v>
      </c>
      <c r="P300" s="37">
        <f t="shared" si="24"/>
        <v>0</v>
      </c>
      <c r="R300" s="37">
        <f t="shared" si="25"/>
        <v>0</v>
      </c>
      <c r="S300" s="37">
        <f t="shared" si="26"/>
        <v>0</v>
      </c>
      <c r="T300" s="37">
        <f t="shared" si="27"/>
        <v>0</v>
      </c>
      <c r="U300" s="37">
        <f t="shared" si="28"/>
        <v>0</v>
      </c>
      <c r="V300" s="37">
        <f t="shared" si="29"/>
        <v>0</v>
      </c>
      <c r="W300" s="37">
        <f t="shared" si="30"/>
        <v>0</v>
      </c>
      <c r="X300" s="37">
        <f t="shared" si="31"/>
        <v>0</v>
      </c>
      <c r="Y300" s="29"/>
      <c r="Z300" s="21">
        <f t="shared" si="32"/>
        <v>0</v>
      </c>
      <c r="AA300" s="21">
        <f t="shared" si="33"/>
        <v>0</v>
      </c>
      <c r="AB300" s="21">
        <f t="shared" si="34"/>
        <v>0</v>
      </c>
      <c r="AD300" s="37">
        <v>21</v>
      </c>
      <c r="AE300" s="37">
        <f>G300*1</f>
        <v>0</v>
      </c>
      <c r="AF300" s="37">
        <f>G300*(1-1)</f>
        <v>0</v>
      </c>
      <c r="AG300" s="33" t="s">
        <v>13</v>
      </c>
      <c r="AM300" s="37">
        <f t="shared" si="35"/>
        <v>0</v>
      </c>
      <c r="AN300" s="37">
        <f t="shared" si="36"/>
        <v>0</v>
      </c>
      <c r="AO300" s="38" t="s">
        <v>896</v>
      </c>
      <c r="AP300" s="38" t="s">
        <v>920</v>
      </c>
      <c r="AQ300" s="29" t="s">
        <v>926</v>
      </c>
      <c r="AS300" s="37">
        <f t="shared" si="37"/>
        <v>0</v>
      </c>
      <c r="AT300" s="37">
        <f t="shared" si="38"/>
        <v>0</v>
      </c>
      <c r="AU300" s="37">
        <v>0</v>
      </c>
      <c r="AV300" s="37">
        <f t="shared" si="39"/>
        <v>0.00738</v>
      </c>
    </row>
    <row r="301" spans="1:48" ht="12.75">
      <c r="A301" s="4" t="s">
        <v>134</v>
      </c>
      <c r="B301" s="4"/>
      <c r="C301" s="4" t="s">
        <v>346</v>
      </c>
      <c r="D301" s="4" t="s">
        <v>706</v>
      </c>
      <c r="E301" s="4" t="s">
        <v>844</v>
      </c>
      <c r="F301" s="19">
        <v>1</v>
      </c>
      <c r="G301" s="19">
        <v>0</v>
      </c>
      <c r="H301" s="19">
        <f t="shared" si="20"/>
        <v>0</v>
      </c>
      <c r="I301" s="19">
        <f t="shared" si="21"/>
        <v>0</v>
      </c>
      <c r="J301" s="19">
        <f t="shared" si="22"/>
        <v>0</v>
      </c>
      <c r="K301" s="19">
        <v>0.04782</v>
      </c>
      <c r="L301" s="19">
        <f t="shared" si="23"/>
        <v>0.04782</v>
      </c>
      <c r="M301" s="32" t="s">
        <v>863</v>
      </c>
      <c r="P301" s="37">
        <f t="shared" si="24"/>
        <v>0</v>
      </c>
      <c r="R301" s="37">
        <f t="shared" si="25"/>
        <v>0</v>
      </c>
      <c r="S301" s="37">
        <f t="shared" si="26"/>
        <v>0</v>
      </c>
      <c r="T301" s="37">
        <f t="shared" si="27"/>
        <v>0</v>
      </c>
      <c r="U301" s="37">
        <f t="shared" si="28"/>
        <v>0</v>
      </c>
      <c r="V301" s="37">
        <f t="shared" si="29"/>
        <v>0</v>
      </c>
      <c r="W301" s="37">
        <f t="shared" si="30"/>
        <v>0</v>
      </c>
      <c r="X301" s="37">
        <f t="shared" si="31"/>
        <v>0</v>
      </c>
      <c r="Y301" s="29"/>
      <c r="Z301" s="19">
        <f t="shared" si="32"/>
        <v>0</v>
      </c>
      <c r="AA301" s="19">
        <f t="shared" si="33"/>
        <v>0</v>
      </c>
      <c r="AB301" s="19">
        <f t="shared" si="34"/>
        <v>0</v>
      </c>
      <c r="AD301" s="37">
        <v>21</v>
      </c>
      <c r="AE301" s="37">
        <f>G301*0.900198214285714</f>
        <v>0</v>
      </c>
      <c r="AF301" s="37">
        <f>G301*(1-0.900198214285714)</f>
        <v>0</v>
      </c>
      <c r="AG301" s="32" t="s">
        <v>13</v>
      </c>
      <c r="AM301" s="37">
        <f t="shared" si="35"/>
        <v>0</v>
      </c>
      <c r="AN301" s="37">
        <f t="shared" si="36"/>
        <v>0</v>
      </c>
      <c r="AO301" s="38" t="s">
        <v>896</v>
      </c>
      <c r="AP301" s="38" t="s">
        <v>920</v>
      </c>
      <c r="AQ301" s="29" t="s">
        <v>926</v>
      </c>
      <c r="AS301" s="37">
        <f t="shared" si="37"/>
        <v>0</v>
      </c>
      <c r="AT301" s="37">
        <f t="shared" si="38"/>
        <v>0</v>
      </c>
      <c r="AU301" s="37">
        <v>0</v>
      </c>
      <c r="AV301" s="37">
        <f t="shared" si="39"/>
        <v>0.04782</v>
      </c>
    </row>
    <row r="302" spans="1:48" ht="12.75">
      <c r="A302" s="4" t="s">
        <v>135</v>
      </c>
      <c r="B302" s="4"/>
      <c r="C302" s="4" t="s">
        <v>347</v>
      </c>
      <c r="D302" s="4" t="s">
        <v>707</v>
      </c>
      <c r="E302" s="4" t="s">
        <v>839</v>
      </c>
      <c r="F302" s="19">
        <v>2</v>
      </c>
      <c r="G302" s="19">
        <v>0</v>
      </c>
      <c r="H302" s="19">
        <f t="shared" si="20"/>
        <v>0</v>
      </c>
      <c r="I302" s="19">
        <f t="shared" si="21"/>
        <v>0</v>
      </c>
      <c r="J302" s="19">
        <f t="shared" si="22"/>
        <v>0</v>
      </c>
      <c r="K302" s="19">
        <v>0.00085</v>
      </c>
      <c r="L302" s="19">
        <f t="shared" si="23"/>
        <v>0.0017</v>
      </c>
      <c r="M302" s="32" t="s">
        <v>863</v>
      </c>
      <c r="P302" s="37">
        <f t="shared" si="24"/>
        <v>0</v>
      </c>
      <c r="R302" s="37">
        <f t="shared" si="25"/>
        <v>0</v>
      </c>
      <c r="S302" s="37">
        <f t="shared" si="26"/>
        <v>0</v>
      </c>
      <c r="T302" s="37">
        <f t="shared" si="27"/>
        <v>0</v>
      </c>
      <c r="U302" s="37">
        <f t="shared" si="28"/>
        <v>0</v>
      </c>
      <c r="V302" s="37">
        <f t="shared" si="29"/>
        <v>0</v>
      </c>
      <c r="W302" s="37">
        <f t="shared" si="30"/>
        <v>0</v>
      </c>
      <c r="X302" s="37">
        <f t="shared" si="31"/>
        <v>0</v>
      </c>
      <c r="Y302" s="29"/>
      <c r="Z302" s="19">
        <f t="shared" si="32"/>
        <v>0</v>
      </c>
      <c r="AA302" s="19">
        <f t="shared" si="33"/>
        <v>0</v>
      </c>
      <c r="AB302" s="19">
        <f t="shared" si="34"/>
        <v>0</v>
      </c>
      <c r="AD302" s="37">
        <v>21</v>
      </c>
      <c r="AE302" s="37">
        <f>G302*0.903389423076923</f>
        <v>0</v>
      </c>
      <c r="AF302" s="37">
        <f>G302*(1-0.903389423076923)</f>
        <v>0</v>
      </c>
      <c r="AG302" s="32" t="s">
        <v>13</v>
      </c>
      <c r="AM302" s="37">
        <f t="shared" si="35"/>
        <v>0</v>
      </c>
      <c r="AN302" s="37">
        <f t="shared" si="36"/>
        <v>0</v>
      </c>
      <c r="AO302" s="38" t="s">
        <v>896</v>
      </c>
      <c r="AP302" s="38" t="s">
        <v>920</v>
      </c>
      <c r="AQ302" s="29" t="s">
        <v>926</v>
      </c>
      <c r="AS302" s="37">
        <f t="shared" si="37"/>
        <v>0</v>
      </c>
      <c r="AT302" s="37">
        <f t="shared" si="38"/>
        <v>0</v>
      </c>
      <c r="AU302" s="37">
        <v>0</v>
      </c>
      <c r="AV302" s="37">
        <f t="shared" si="39"/>
        <v>0.0017</v>
      </c>
    </row>
    <row r="303" spans="1:48" ht="12.75">
      <c r="A303" s="4" t="s">
        <v>136</v>
      </c>
      <c r="B303" s="4"/>
      <c r="C303" s="4" t="s">
        <v>348</v>
      </c>
      <c r="D303" s="4" t="s">
        <v>708</v>
      </c>
      <c r="E303" s="4" t="s">
        <v>839</v>
      </c>
      <c r="F303" s="19">
        <v>2</v>
      </c>
      <c r="G303" s="19">
        <v>0</v>
      </c>
      <c r="H303" s="19">
        <f t="shared" si="20"/>
        <v>0</v>
      </c>
      <c r="I303" s="19">
        <f t="shared" si="21"/>
        <v>0</v>
      </c>
      <c r="J303" s="19">
        <f t="shared" si="22"/>
        <v>0</v>
      </c>
      <c r="K303" s="19">
        <v>0.00022</v>
      </c>
      <c r="L303" s="19">
        <f t="shared" si="23"/>
        <v>0.00044</v>
      </c>
      <c r="M303" s="32" t="s">
        <v>863</v>
      </c>
      <c r="P303" s="37">
        <f t="shared" si="24"/>
        <v>0</v>
      </c>
      <c r="R303" s="37">
        <f t="shared" si="25"/>
        <v>0</v>
      </c>
      <c r="S303" s="37">
        <f t="shared" si="26"/>
        <v>0</v>
      </c>
      <c r="T303" s="37">
        <f t="shared" si="27"/>
        <v>0</v>
      </c>
      <c r="U303" s="37">
        <f t="shared" si="28"/>
        <v>0</v>
      </c>
      <c r="V303" s="37">
        <f t="shared" si="29"/>
        <v>0</v>
      </c>
      <c r="W303" s="37">
        <f t="shared" si="30"/>
        <v>0</v>
      </c>
      <c r="X303" s="37">
        <f t="shared" si="31"/>
        <v>0</v>
      </c>
      <c r="Y303" s="29"/>
      <c r="Z303" s="19">
        <f t="shared" si="32"/>
        <v>0</v>
      </c>
      <c r="AA303" s="19">
        <f t="shared" si="33"/>
        <v>0</v>
      </c>
      <c r="AB303" s="19">
        <f t="shared" si="34"/>
        <v>0</v>
      </c>
      <c r="AD303" s="37">
        <v>21</v>
      </c>
      <c r="AE303" s="37">
        <f>G303*0.797359893441482</f>
        <v>0</v>
      </c>
      <c r="AF303" s="37">
        <f>G303*(1-0.797359893441482)</f>
        <v>0</v>
      </c>
      <c r="AG303" s="32" t="s">
        <v>13</v>
      </c>
      <c r="AM303" s="37">
        <f t="shared" si="35"/>
        <v>0</v>
      </c>
      <c r="AN303" s="37">
        <f t="shared" si="36"/>
        <v>0</v>
      </c>
      <c r="AO303" s="38" t="s">
        <v>896</v>
      </c>
      <c r="AP303" s="38" t="s">
        <v>920</v>
      </c>
      <c r="AQ303" s="29" t="s">
        <v>926</v>
      </c>
      <c r="AS303" s="37">
        <f t="shared" si="37"/>
        <v>0</v>
      </c>
      <c r="AT303" s="37">
        <f t="shared" si="38"/>
        <v>0</v>
      </c>
      <c r="AU303" s="37">
        <v>0</v>
      </c>
      <c r="AV303" s="37">
        <f t="shared" si="39"/>
        <v>0.00044</v>
      </c>
    </row>
    <row r="304" spans="1:48" ht="12.75">
      <c r="A304" s="4" t="s">
        <v>137</v>
      </c>
      <c r="B304" s="4"/>
      <c r="C304" s="4" t="s">
        <v>349</v>
      </c>
      <c r="D304" s="4" t="s">
        <v>709</v>
      </c>
      <c r="E304" s="4" t="s">
        <v>840</v>
      </c>
      <c r="F304" s="19">
        <v>0.09</v>
      </c>
      <c r="G304" s="19">
        <v>0</v>
      </c>
      <c r="H304" s="19">
        <f t="shared" si="20"/>
        <v>0</v>
      </c>
      <c r="I304" s="19">
        <f t="shared" si="21"/>
        <v>0</v>
      </c>
      <c r="J304" s="19">
        <f t="shared" si="22"/>
        <v>0</v>
      </c>
      <c r="K304" s="19">
        <v>0</v>
      </c>
      <c r="L304" s="19">
        <f t="shared" si="23"/>
        <v>0</v>
      </c>
      <c r="M304" s="32" t="s">
        <v>863</v>
      </c>
      <c r="P304" s="37">
        <f t="shared" si="24"/>
        <v>0</v>
      </c>
      <c r="R304" s="37">
        <f t="shared" si="25"/>
        <v>0</v>
      </c>
      <c r="S304" s="37">
        <f t="shared" si="26"/>
        <v>0</v>
      </c>
      <c r="T304" s="37">
        <f t="shared" si="27"/>
        <v>0</v>
      </c>
      <c r="U304" s="37">
        <f t="shared" si="28"/>
        <v>0</v>
      </c>
      <c r="V304" s="37">
        <f t="shared" si="29"/>
        <v>0</v>
      </c>
      <c r="W304" s="37">
        <f t="shared" si="30"/>
        <v>0</v>
      </c>
      <c r="X304" s="37">
        <f t="shared" si="31"/>
        <v>0</v>
      </c>
      <c r="Y304" s="29"/>
      <c r="Z304" s="19">
        <f t="shared" si="32"/>
        <v>0</v>
      </c>
      <c r="AA304" s="19">
        <f t="shared" si="33"/>
        <v>0</v>
      </c>
      <c r="AB304" s="19">
        <f t="shared" si="34"/>
        <v>0</v>
      </c>
      <c r="AD304" s="37">
        <v>21</v>
      </c>
      <c r="AE304" s="37">
        <f>G304*0</f>
        <v>0</v>
      </c>
      <c r="AF304" s="37">
        <f>G304*(1-0)</f>
        <v>0</v>
      </c>
      <c r="AG304" s="32" t="s">
        <v>11</v>
      </c>
      <c r="AM304" s="37">
        <f t="shared" si="35"/>
        <v>0</v>
      </c>
      <c r="AN304" s="37">
        <f t="shared" si="36"/>
        <v>0</v>
      </c>
      <c r="AO304" s="38" t="s">
        <v>896</v>
      </c>
      <c r="AP304" s="38" t="s">
        <v>920</v>
      </c>
      <c r="AQ304" s="29" t="s">
        <v>926</v>
      </c>
      <c r="AS304" s="37">
        <f t="shared" si="37"/>
        <v>0</v>
      </c>
      <c r="AT304" s="37">
        <f t="shared" si="38"/>
        <v>0</v>
      </c>
      <c r="AU304" s="37">
        <v>0</v>
      </c>
      <c r="AV304" s="37">
        <f t="shared" si="39"/>
        <v>0</v>
      </c>
    </row>
    <row r="305" spans="1:37" ht="12.75">
      <c r="A305" s="5"/>
      <c r="B305" s="13"/>
      <c r="C305" s="13" t="s">
        <v>350</v>
      </c>
      <c r="D305" s="13" t="s">
        <v>710</v>
      </c>
      <c r="E305" s="5" t="s">
        <v>6</v>
      </c>
      <c r="F305" s="5" t="s">
        <v>6</v>
      </c>
      <c r="G305" s="5" t="s">
        <v>6</v>
      </c>
      <c r="H305" s="40">
        <f>SUM(H306:H308)</f>
        <v>0</v>
      </c>
      <c r="I305" s="40">
        <f>SUM(I306:I308)</f>
        <v>0</v>
      </c>
      <c r="J305" s="40">
        <f>H305+I305</f>
        <v>0</v>
      </c>
      <c r="K305" s="29"/>
      <c r="L305" s="40">
        <f>SUM(L306:L308)</f>
        <v>0.01598</v>
      </c>
      <c r="M305" s="29"/>
      <c r="Y305" s="29"/>
      <c r="AI305" s="40">
        <f>SUM(Z306:Z308)</f>
        <v>0</v>
      </c>
      <c r="AJ305" s="40">
        <f>SUM(AA306:AA308)</f>
        <v>0</v>
      </c>
      <c r="AK305" s="40">
        <f>SUM(AB306:AB308)</f>
        <v>0</v>
      </c>
    </row>
    <row r="306" spans="1:48" ht="12.75">
      <c r="A306" s="4" t="s">
        <v>138</v>
      </c>
      <c r="B306" s="4"/>
      <c r="C306" s="4" t="s">
        <v>351</v>
      </c>
      <c r="D306" s="4" t="s">
        <v>711</v>
      </c>
      <c r="E306" s="4" t="s">
        <v>844</v>
      </c>
      <c r="F306" s="19">
        <v>2</v>
      </c>
      <c r="G306" s="19">
        <v>0</v>
      </c>
      <c r="H306" s="19">
        <f>F306*AE306</f>
        <v>0</v>
      </c>
      <c r="I306" s="19">
        <f>J306-H306</f>
        <v>0</v>
      </c>
      <c r="J306" s="19">
        <f>F306*G306</f>
        <v>0</v>
      </c>
      <c r="K306" s="19">
        <v>0.00054</v>
      </c>
      <c r="L306" s="19">
        <f>F306*K306</f>
        <v>0.00108</v>
      </c>
      <c r="M306" s="32" t="s">
        <v>863</v>
      </c>
      <c r="P306" s="37">
        <f>IF(AG306="5",J306,0)</f>
        <v>0</v>
      </c>
      <c r="R306" s="37">
        <f>IF(AG306="1",H306,0)</f>
        <v>0</v>
      </c>
      <c r="S306" s="37">
        <f>IF(AG306="1",I306,0)</f>
        <v>0</v>
      </c>
      <c r="T306" s="37">
        <f>IF(AG306="7",H306,0)</f>
        <v>0</v>
      </c>
      <c r="U306" s="37">
        <f>IF(AG306="7",I306,0)</f>
        <v>0</v>
      </c>
      <c r="V306" s="37">
        <f>IF(AG306="2",H306,0)</f>
        <v>0</v>
      </c>
      <c r="W306" s="37">
        <f>IF(AG306="2",I306,0)</f>
        <v>0</v>
      </c>
      <c r="X306" s="37">
        <f>IF(AG306="0",J306,0)</f>
        <v>0</v>
      </c>
      <c r="Y306" s="29"/>
      <c r="Z306" s="19">
        <f>IF(AD306=0,J306,0)</f>
        <v>0</v>
      </c>
      <c r="AA306" s="19">
        <f>IF(AD306=15,J306,0)</f>
        <v>0</v>
      </c>
      <c r="AB306" s="19">
        <f>IF(AD306=21,J306,0)</f>
        <v>0</v>
      </c>
      <c r="AD306" s="37">
        <v>21</v>
      </c>
      <c r="AE306" s="37">
        <f>G306*0.256159214777183</f>
        <v>0</v>
      </c>
      <c r="AF306" s="37">
        <f>G306*(1-0.256159214777183)</f>
        <v>0</v>
      </c>
      <c r="AG306" s="32" t="s">
        <v>13</v>
      </c>
      <c r="AM306" s="37">
        <f>F306*AE306</f>
        <v>0</v>
      </c>
      <c r="AN306" s="37">
        <f>F306*AF306</f>
        <v>0</v>
      </c>
      <c r="AO306" s="38" t="s">
        <v>897</v>
      </c>
      <c r="AP306" s="38" t="s">
        <v>921</v>
      </c>
      <c r="AQ306" s="29" t="s">
        <v>926</v>
      </c>
      <c r="AS306" s="37">
        <f>AM306+AN306</f>
        <v>0</v>
      </c>
      <c r="AT306" s="37">
        <f>G306/(100-AU306)*100</f>
        <v>0</v>
      </c>
      <c r="AU306" s="37">
        <v>0</v>
      </c>
      <c r="AV306" s="37">
        <f>L306</f>
        <v>0.00108</v>
      </c>
    </row>
    <row r="307" spans="1:48" ht="12.75">
      <c r="A307" s="6" t="s">
        <v>139</v>
      </c>
      <c r="B307" s="6"/>
      <c r="C307" s="6" t="s">
        <v>352</v>
      </c>
      <c r="D307" s="6" t="s">
        <v>712</v>
      </c>
      <c r="E307" s="6" t="s">
        <v>839</v>
      </c>
      <c r="F307" s="21">
        <v>1</v>
      </c>
      <c r="G307" s="21">
        <v>0</v>
      </c>
      <c r="H307" s="21">
        <f>F307*AE307</f>
        <v>0</v>
      </c>
      <c r="I307" s="21">
        <f>J307-H307</f>
        <v>0</v>
      </c>
      <c r="J307" s="21">
        <f>F307*G307</f>
        <v>0</v>
      </c>
      <c r="K307" s="21">
        <v>0.00678</v>
      </c>
      <c r="L307" s="21">
        <f>F307*K307</f>
        <v>0.00678</v>
      </c>
      <c r="M307" s="33" t="s">
        <v>863</v>
      </c>
      <c r="P307" s="37">
        <f>IF(AG307="5",J307,0)</f>
        <v>0</v>
      </c>
      <c r="R307" s="37">
        <f>IF(AG307="1",H307,0)</f>
        <v>0</v>
      </c>
      <c r="S307" s="37">
        <f>IF(AG307="1",I307,0)</f>
        <v>0</v>
      </c>
      <c r="T307" s="37">
        <f>IF(AG307="7",H307,0)</f>
        <v>0</v>
      </c>
      <c r="U307" s="37">
        <f>IF(AG307="7",I307,0)</f>
        <v>0</v>
      </c>
      <c r="V307" s="37">
        <f>IF(AG307="2",H307,0)</f>
        <v>0</v>
      </c>
      <c r="W307" s="37">
        <f>IF(AG307="2",I307,0)</f>
        <v>0</v>
      </c>
      <c r="X307" s="37">
        <f>IF(AG307="0",J307,0)</f>
        <v>0</v>
      </c>
      <c r="Y307" s="29"/>
      <c r="Z307" s="21">
        <f>IF(AD307=0,J307,0)</f>
        <v>0</v>
      </c>
      <c r="AA307" s="21">
        <f>IF(AD307=15,J307,0)</f>
        <v>0</v>
      </c>
      <c r="AB307" s="21">
        <f>IF(AD307=21,J307,0)</f>
        <v>0</v>
      </c>
      <c r="AD307" s="37">
        <v>21</v>
      </c>
      <c r="AE307" s="37">
        <f>G307*1</f>
        <v>0</v>
      </c>
      <c r="AF307" s="37">
        <f>G307*(1-1)</f>
        <v>0</v>
      </c>
      <c r="AG307" s="33" t="s">
        <v>13</v>
      </c>
      <c r="AM307" s="37">
        <f>F307*AE307</f>
        <v>0</v>
      </c>
      <c r="AN307" s="37">
        <f>F307*AF307</f>
        <v>0</v>
      </c>
      <c r="AO307" s="38" t="s">
        <v>897</v>
      </c>
      <c r="AP307" s="38" t="s">
        <v>921</v>
      </c>
      <c r="AQ307" s="29" t="s">
        <v>926</v>
      </c>
      <c r="AS307" s="37">
        <f>AM307+AN307</f>
        <v>0</v>
      </c>
      <c r="AT307" s="37">
        <f>G307/(100-AU307)*100</f>
        <v>0</v>
      </c>
      <c r="AU307" s="37">
        <v>0</v>
      </c>
      <c r="AV307" s="37">
        <f>L307</f>
        <v>0.00678</v>
      </c>
    </row>
    <row r="308" spans="1:48" ht="12.75">
      <c r="A308" s="6" t="s">
        <v>140</v>
      </c>
      <c r="B308" s="6"/>
      <c r="C308" s="6" t="s">
        <v>353</v>
      </c>
      <c r="D308" s="6" t="s">
        <v>713</v>
      </c>
      <c r="E308" s="6" t="s">
        <v>839</v>
      </c>
      <c r="F308" s="21">
        <v>1</v>
      </c>
      <c r="G308" s="21">
        <v>0</v>
      </c>
      <c r="H308" s="21">
        <f>F308*AE308</f>
        <v>0</v>
      </c>
      <c r="I308" s="21">
        <f>J308-H308</f>
        <v>0</v>
      </c>
      <c r="J308" s="21">
        <f>F308*G308</f>
        <v>0</v>
      </c>
      <c r="K308" s="21">
        <v>0.00812</v>
      </c>
      <c r="L308" s="21">
        <f>F308*K308</f>
        <v>0.00812</v>
      </c>
      <c r="M308" s="33" t="s">
        <v>863</v>
      </c>
      <c r="P308" s="37">
        <f>IF(AG308="5",J308,0)</f>
        <v>0</v>
      </c>
      <c r="R308" s="37">
        <f>IF(AG308="1",H308,0)</f>
        <v>0</v>
      </c>
      <c r="S308" s="37">
        <f>IF(AG308="1",I308,0)</f>
        <v>0</v>
      </c>
      <c r="T308" s="37">
        <f>IF(AG308="7",H308,0)</f>
        <v>0</v>
      </c>
      <c r="U308" s="37">
        <f>IF(AG308="7",I308,0)</f>
        <v>0</v>
      </c>
      <c r="V308" s="37">
        <f>IF(AG308="2",H308,0)</f>
        <v>0</v>
      </c>
      <c r="W308" s="37">
        <f>IF(AG308="2",I308,0)</f>
        <v>0</v>
      </c>
      <c r="X308" s="37">
        <f>IF(AG308="0",J308,0)</f>
        <v>0</v>
      </c>
      <c r="Y308" s="29"/>
      <c r="Z308" s="21">
        <f>IF(AD308=0,J308,0)</f>
        <v>0</v>
      </c>
      <c r="AA308" s="21">
        <f>IF(AD308=15,J308,0)</f>
        <v>0</v>
      </c>
      <c r="AB308" s="21">
        <f>IF(AD308=21,J308,0)</f>
        <v>0</v>
      </c>
      <c r="AD308" s="37">
        <v>21</v>
      </c>
      <c r="AE308" s="37">
        <f>G308*1</f>
        <v>0</v>
      </c>
      <c r="AF308" s="37">
        <f>G308*(1-1)</f>
        <v>0</v>
      </c>
      <c r="AG308" s="33" t="s">
        <v>13</v>
      </c>
      <c r="AM308" s="37">
        <f>F308*AE308</f>
        <v>0</v>
      </c>
      <c r="AN308" s="37">
        <f>F308*AF308</f>
        <v>0</v>
      </c>
      <c r="AO308" s="38" t="s">
        <v>897</v>
      </c>
      <c r="AP308" s="38" t="s">
        <v>921</v>
      </c>
      <c r="AQ308" s="29" t="s">
        <v>926</v>
      </c>
      <c r="AS308" s="37">
        <f>AM308+AN308</f>
        <v>0</v>
      </c>
      <c r="AT308" s="37">
        <f>G308/(100-AU308)*100</f>
        <v>0</v>
      </c>
      <c r="AU308" s="37">
        <v>0</v>
      </c>
      <c r="AV308" s="37">
        <f>L308</f>
        <v>0.00812</v>
      </c>
    </row>
    <row r="309" spans="1:37" ht="12.75">
      <c r="A309" s="5"/>
      <c r="B309" s="13"/>
      <c r="C309" s="13" t="s">
        <v>354</v>
      </c>
      <c r="D309" s="13" t="s">
        <v>714</v>
      </c>
      <c r="E309" s="5" t="s">
        <v>6</v>
      </c>
      <c r="F309" s="5" t="s">
        <v>6</v>
      </c>
      <c r="G309" s="5" t="s">
        <v>6</v>
      </c>
      <c r="H309" s="40">
        <f>SUM(H310:H324)</f>
        <v>0</v>
      </c>
      <c r="I309" s="40">
        <f>SUM(I310:I324)</f>
        <v>0</v>
      </c>
      <c r="J309" s="40">
        <f>H309+I309</f>
        <v>0</v>
      </c>
      <c r="K309" s="29"/>
      <c r="L309" s="40">
        <f>SUM(L310:L324)</f>
        <v>0.050365400000000005</v>
      </c>
      <c r="M309" s="29"/>
      <c r="Y309" s="29"/>
      <c r="AI309" s="40">
        <f>SUM(Z310:Z324)</f>
        <v>0</v>
      </c>
      <c r="AJ309" s="40">
        <f>SUM(AA310:AA324)</f>
        <v>0</v>
      </c>
      <c r="AK309" s="40">
        <f>SUM(AB310:AB324)</f>
        <v>0</v>
      </c>
    </row>
    <row r="310" spans="1:48" ht="12.75">
      <c r="A310" s="4" t="s">
        <v>141</v>
      </c>
      <c r="B310" s="4"/>
      <c r="C310" s="4" t="s">
        <v>355</v>
      </c>
      <c r="D310" s="4" t="s">
        <v>715</v>
      </c>
      <c r="E310" s="4" t="s">
        <v>837</v>
      </c>
      <c r="F310" s="19">
        <v>9.22</v>
      </c>
      <c r="G310" s="19">
        <v>0</v>
      </c>
      <c r="H310" s="19">
        <f>F310*AE310</f>
        <v>0</v>
      </c>
      <c r="I310" s="19">
        <f>J310-H310</f>
        <v>0</v>
      </c>
      <c r="J310" s="19">
        <f>F310*G310</f>
        <v>0</v>
      </c>
      <c r="K310" s="19">
        <v>0.00261</v>
      </c>
      <c r="L310" s="19">
        <f>F310*K310</f>
        <v>0.0240642</v>
      </c>
      <c r="M310" s="32" t="s">
        <v>863</v>
      </c>
      <c r="P310" s="37">
        <f>IF(AG310="5",J310,0)</f>
        <v>0</v>
      </c>
      <c r="R310" s="37">
        <f>IF(AG310="1",H310,0)</f>
        <v>0</v>
      </c>
      <c r="S310" s="37">
        <f>IF(AG310="1",I310,0)</f>
        <v>0</v>
      </c>
      <c r="T310" s="37">
        <f>IF(AG310="7",H310,0)</f>
        <v>0</v>
      </c>
      <c r="U310" s="37">
        <f>IF(AG310="7",I310,0)</f>
        <v>0</v>
      </c>
      <c r="V310" s="37">
        <f>IF(AG310="2",H310,0)</f>
        <v>0</v>
      </c>
      <c r="W310" s="37">
        <f>IF(AG310="2",I310,0)</f>
        <v>0</v>
      </c>
      <c r="X310" s="37">
        <f>IF(AG310="0",J310,0)</f>
        <v>0</v>
      </c>
      <c r="Y310" s="29"/>
      <c r="Z310" s="19">
        <f>IF(AD310=0,J310,0)</f>
        <v>0</v>
      </c>
      <c r="AA310" s="19">
        <f>IF(AD310=15,J310,0)</f>
        <v>0</v>
      </c>
      <c r="AB310" s="19">
        <f>IF(AD310=21,J310,0)</f>
        <v>0</v>
      </c>
      <c r="AD310" s="37">
        <v>21</v>
      </c>
      <c r="AE310" s="37">
        <f>G310*0.700673966139737</f>
        <v>0</v>
      </c>
      <c r="AF310" s="37">
        <f>G310*(1-0.700673966139737)</f>
        <v>0</v>
      </c>
      <c r="AG310" s="32" t="s">
        <v>13</v>
      </c>
      <c r="AM310" s="37">
        <f>F310*AE310</f>
        <v>0</v>
      </c>
      <c r="AN310" s="37">
        <f>F310*AF310</f>
        <v>0</v>
      </c>
      <c r="AO310" s="38" t="s">
        <v>898</v>
      </c>
      <c r="AP310" s="38" t="s">
        <v>922</v>
      </c>
      <c r="AQ310" s="29" t="s">
        <v>926</v>
      </c>
      <c r="AS310" s="37">
        <f>AM310+AN310</f>
        <v>0</v>
      </c>
      <c r="AT310" s="37">
        <f>G310/(100-AU310)*100</f>
        <v>0</v>
      </c>
      <c r="AU310" s="37">
        <v>0</v>
      </c>
      <c r="AV310" s="37">
        <f>L310</f>
        <v>0.0240642</v>
      </c>
    </row>
    <row r="311" spans="4:6" ht="12.75">
      <c r="D311" s="15" t="s">
        <v>649</v>
      </c>
      <c r="F311" s="20">
        <v>9.22</v>
      </c>
    </row>
    <row r="312" spans="1:48" ht="12.75">
      <c r="A312" s="4" t="s">
        <v>142</v>
      </c>
      <c r="B312" s="4"/>
      <c r="C312" s="4" t="s">
        <v>356</v>
      </c>
      <c r="D312" s="4" t="s">
        <v>716</v>
      </c>
      <c r="E312" s="4" t="s">
        <v>839</v>
      </c>
      <c r="F312" s="19">
        <v>4</v>
      </c>
      <c r="G312" s="19">
        <v>0</v>
      </c>
      <c r="H312" s="19">
        <f>F312*AE312</f>
        <v>0</v>
      </c>
      <c r="I312" s="19">
        <f>J312-H312</f>
        <v>0</v>
      </c>
      <c r="J312" s="19">
        <f>F312*G312</f>
        <v>0</v>
      </c>
      <c r="K312" s="19">
        <v>0.00086</v>
      </c>
      <c r="L312" s="19">
        <f>F312*K312</f>
        <v>0.00344</v>
      </c>
      <c r="M312" s="32" t="s">
        <v>863</v>
      </c>
      <c r="P312" s="37">
        <f>IF(AG312="5",J312,0)</f>
        <v>0</v>
      </c>
      <c r="R312" s="37">
        <f>IF(AG312="1",H312,0)</f>
        <v>0</v>
      </c>
      <c r="S312" s="37">
        <f>IF(AG312="1",I312,0)</f>
        <v>0</v>
      </c>
      <c r="T312" s="37">
        <f>IF(AG312="7",H312,0)</f>
        <v>0</v>
      </c>
      <c r="U312" s="37">
        <f>IF(AG312="7",I312,0)</f>
        <v>0</v>
      </c>
      <c r="V312" s="37">
        <f>IF(AG312="2",H312,0)</f>
        <v>0</v>
      </c>
      <c r="W312" s="37">
        <f>IF(AG312="2",I312,0)</f>
        <v>0</v>
      </c>
      <c r="X312" s="37">
        <f>IF(AG312="0",J312,0)</f>
        <v>0</v>
      </c>
      <c r="Y312" s="29"/>
      <c r="Z312" s="19">
        <f>IF(AD312=0,J312,0)</f>
        <v>0</v>
      </c>
      <c r="AA312" s="19">
        <f>IF(AD312=15,J312,0)</f>
        <v>0</v>
      </c>
      <c r="AB312" s="19">
        <f>IF(AD312=21,J312,0)</f>
        <v>0</v>
      </c>
      <c r="AD312" s="37">
        <v>21</v>
      </c>
      <c r="AE312" s="37">
        <f>G312*0.733207590120486</f>
        <v>0</v>
      </c>
      <c r="AF312" s="37">
        <f>G312*(1-0.733207590120486)</f>
        <v>0</v>
      </c>
      <c r="AG312" s="32" t="s">
        <v>13</v>
      </c>
      <c r="AM312" s="37">
        <f>F312*AE312</f>
        <v>0</v>
      </c>
      <c r="AN312" s="37">
        <f>F312*AF312</f>
        <v>0</v>
      </c>
      <c r="AO312" s="38" t="s">
        <v>898</v>
      </c>
      <c r="AP312" s="38" t="s">
        <v>922</v>
      </c>
      <c r="AQ312" s="29" t="s">
        <v>926</v>
      </c>
      <c r="AS312" s="37">
        <f>AM312+AN312</f>
        <v>0</v>
      </c>
      <c r="AT312" s="37">
        <f>G312/(100-AU312)*100</f>
        <v>0</v>
      </c>
      <c r="AU312" s="37">
        <v>0</v>
      </c>
      <c r="AV312" s="37">
        <f>L312</f>
        <v>0.00344</v>
      </c>
    </row>
    <row r="313" spans="1:48" ht="12.75">
      <c r="A313" s="4" t="s">
        <v>143</v>
      </c>
      <c r="B313" s="4"/>
      <c r="C313" s="4" t="s">
        <v>357</v>
      </c>
      <c r="D313" s="4" t="s">
        <v>717</v>
      </c>
      <c r="E313" s="4" t="s">
        <v>839</v>
      </c>
      <c r="F313" s="19">
        <v>2</v>
      </c>
      <c r="G313" s="19">
        <v>0</v>
      </c>
      <c r="H313" s="19">
        <f>F313*AE313</f>
        <v>0</v>
      </c>
      <c r="I313" s="19">
        <f>J313-H313</f>
        <v>0</v>
      </c>
      <c r="J313" s="19">
        <f>F313*G313</f>
        <v>0</v>
      </c>
      <c r="K313" s="19">
        <v>0.0003</v>
      </c>
      <c r="L313" s="19">
        <f>F313*K313</f>
        <v>0.0006</v>
      </c>
      <c r="M313" s="32" t="s">
        <v>863</v>
      </c>
      <c r="P313" s="37">
        <f>IF(AG313="5",J313,0)</f>
        <v>0</v>
      </c>
      <c r="R313" s="37">
        <f>IF(AG313="1",H313,0)</f>
        <v>0</v>
      </c>
      <c r="S313" s="37">
        <f>IF(AG313="1",I313,0)</f>
        <v>0</v>
      </c>
      <c r="T313" s="37">
        <f>IF(AG313="7",H313,0)</f>
        <v>0</v>
      </c>
      <c r="U313" s="37">
        <f>IF(AG313="7",I313,0)</f>
        <v>0</v>
      </c>
      <c r="V313" s="37">
        <f>IF(AG313="2",H313,0)</f>
        <v>0</v>
      </c>
      <c r="W313" s="37">
        <f>IF(AG313="2",I313,0)</f>
        <v>0</v>
      </c>
      <c r="X313" s="37">
        <f>IF(AG313="0",J313,0)</f>
        <v>0</v>
      </c>
      <c r="Y313" s="29"/>
      <c r="Z313" s="19">
        <f>IF(AD313=0,J313,0)</f>
        <v>0</v>
      </c>
      <c r="AA313" s="19">
        <f>IF(AD313=15,J313,0)</f>
        <v>0</v>
      </c>
      <c r="AB313" s="19">
        <f>IF(AD313=21,J313,0)</f>
        <v>0</v>
      </c>
      <c r="AD313" s="37">
        <v>21</v>
      </c>
      <c r="AE313" s="37">
        <f>G313*0.40444992922217</f>
        <v>0</v>
      </c>
      <c r="AF313" s="37">
        <f>G313*(1-0.40444992922217)</f>
        <v>0</v>
      </c>
      <c r="AG313" s="32" t="s">
        <v>13</v>
      </c>
      <c r="AM313" s="37">
        <f>F313*AE313</f>
        <v>0</v>
      </c>
      <c r="AN313" s="37">
        <f>F313*AF313</f>
        <v>0</v>
      </c>
      <c r="AO313" s="38" t="s">
        <v>898</v>
      </c>
      <c r="AP313" s="38" t="s">
        <v>922</v>
      </c>
      <c r="AQ313" s="29" t="s">
        <v>926</v>
      </c>
      <c r="AS313" s="37">
        <f>AM313+AN313</f>
        <v>0</v>
      </c>
      <c r="AT313" s="37">
        <f>G313/(100-AU313)*100</f>
        <v>0</v>
      </c>
      <c r="AU313" s="37">
        <v>0</v>
      </c>
      <c r="AV313" s="37">
        <f>L313</f>
        <v>0.0006</v>
      </c>
    </row>
    <row r="314" spans="1:48" ht="12.75">
      <c r="A314" s="4" t="s">
        <v>144</v>
      </c>
      <c r="B314" s="4"/>
      <c r="C314" s="4" t="s">
        <v>358</v>
      </c>
      <c r="D314" s="4" t="s">
        <v>718</v>
      </c>
      <c r="E314" s="4" t="s">
        <v>839</v>
      </c>
      <c r="F314" s="19">
        <v>1</v>
      </c>
      <c r="G314" s="19">
        <v>0</v>
      </c>
      <c r="H314" s="19">
        <f>F314*AE314</f>
        <v>0</v>
      </c>
      <c r="I314" s="19">
        <f>J314-H314</f>
        <v>0</v>
      </c>
      <c r="J314" s="19">
        <f>F314*G314</f>
        <v>0</v>
      </c>
      <c r="K314" s="19">
        <v>0.00048</v>
      </c>
      <c r="L314" s="19">
        <f>F314*K314</f>
        <v>0.00048</v>
      </c>
      <c r="M314" s="32" t="s">
        <v>863</v>
      </c>
      <c r="P314" s="37">
        <f>IF(AG314="5",J314,0)</f>
        <v>0</v>
      </c>
      <c r="R314" s="37">
        <f>IF(AG314="1",H314,0)</f>
        <v>0</v>
      </c>
      <c r="S314" s="37">
        <f>IF(AG314="1",I314,0)</f>
        <v>0</v>
      </c>
      <c r="T314" s="37">
        <f>IF(AG314="7",H314,0)</f>
        <v>0</v>
      </c>
      <c r="U314" s="37">
        <f>IF(AG314="7",I314,0)</f>
        <v>0</v>
      </c>
      <c r="V314" s="37">
        <f>IF(AG314="2",H314,0)</f>
        <v>0</v>
      </c>
      <c r="W314" s="37">
        <f>IF(AG314="2",I314,0)</f>
        <v>0</v>
      </c>
      <c r="X314" s="37">
        <f>IF(AG314="0",J314,0)</f>
        <v>0</v>
      </c>
      <c r="Y314" s="29"/>
      <c r="Z314" s="19">
        <f>IF(AD314=0,J314,0)</f>
        <v>0</v>
      </c>
      <c r="AA314" s="19">
        <f>IF(AD314=15,J314,0)</f>
        <v>0</v>
      </c>
      <c r="AB314" s="19">
        <f>IF(AD314=21,J314,0)</f>
        <v>0</v>
      </c>
      <c r="AD314" s="37">
        <v>21</v>
      </c>
      <c r="AE314" s="37">
        <f>G314*0.711244509516837</f>
        <v>0</v>
      </c>
      <c r="AF314" s="37">
        <f>G314*(1-0.711244509516837)</f>
        <v>0</v>
      </c>
      <c r="AG314" s="32" t="s">
        <v>13</v>
      </c>
      <c r="AM314" s="37">
        <f>F314*AE314</f>
        <v>0</v>
      </c>
      <c r="AN314" s="37">
        <f>F314*AF314</f>
        <v>0</v>
      </c>
      <c r="AO314" s="38" t="s">
        <v>898</v>
      </c>
      <c r="AP314" s="38" t="s">
        <v>922</v>
      </c>
      <c r="AQ314" s="29" t="s">
        <v>926</v>
      </c>
      <c r="AS314" s="37">
        <f>AM314+AN314</f>
        <v>0</v>
      </c>
      <c r="AT314" s="37">
        <f>G314/(100-AU314)*100</f>
        <v>0</v>
      </c>
      <c r="AU314" s="37">
        <v>0</v>
      </c>
      <c r="AV314" s="37">
        <f>L314</f>
        <v>0.00048</v>
      </c>
    </row>
    <row r="315" spans="1:48" ht="12.75">
      <c r="A315" s="4" t="s">
        <v>145</v>
      </c>
      <c r="B315" s="4"/>
      <c r="C315" s="4" t="s">
        <v>359</v>
      </c>
      <c r="D315" s="4" t="s">
        <v>719</v>
      </c>
      <c r="E315" s="4" t="s">
        <v>837</v>
      </c>
      <c r="F315" s="19">
        <v>5.42</v>
      </c>
      <c r="G315" s="19">
        <v>0</v>
      </c>
      <c r="H315" s="19">
        <f>F315*AE315</f>
        <v>0</v>
      </c>
      <c r="I315" s="19">
        <f>J315-H315</f>
        <v>0</v>
      </c>
      <c r="J315" s="19">
        <f>F315*G315</f>
        <v>0</v>
      </c>
      <c r="K315" s="19">
        <v>0.00076</v>
      </c>
      <c r="L315" s="19">
        <f>F315*K315</f>
        <v>0.0041192</v>
      </c>
      <c r="M315" s="32" t="s">
        <v>863</v>
      </c>
      <c r="P315" s="37">
        <f>IF(AG315="5",J315,0)</f>
        <v>0</v>
      </c>
      <c r="R315" s="37">
        <f>IF(AG315="1",H315,0)</f>
        <v>0</v>
      </c>
      <c r="S315" s="37">
        <f>IF(AG315="1",I315,0)</f>
        <v>0</v>
      </c>
      <c r="T315" s="37">
        <f>IF(AG315="7",H315,0)</f>
        <v>0</v>
      </c>
      <c r="U315" s="37">
        <f>IF(AG315="7",I315,0)</f>
        <v>0</v>
      </c>
      <c r="V315" s="37">
        <f>IF(AG315="2",H315,0)</f>
        <v>0</v>
      </c>
      <c r="W315" s="37">
        <f>IF(AG315="2",I315,0)</f>
        <v>0</v>
      </c>
      <c r="X315" s="37">
        <f>IF(AG315="0",J315,0)</f>
        <v>0</v>
      </c>
      <c r="Y315" s="29"/>
      <c r="Z315" s="19">
        <f>IF(AD315=0,J315,0)</f>
        <v>0</v>
      </c>
      <c r="AA315" s="19">
        <f>IF(AD315=15,J315,0)</f>
        <v>0</v>
      </c>
      <c r="AB315" s="19">
        <f>IF(AD315=21,J315,0)</f>
        <v>0</v>
      </c>
      <c r="AD315" s="37">
        <v>21</v>
      </c>
      <c r="AE315" s="37">
        <f>G315*0.686478873239437</f>
        <v>0</v>
      </c>
      <c r="AF315" s="37">
        <f>G315*(1-0.686478873239437)</f>
        <v>0</v>
      </c>
      <c r="AG315" s="32" t="s">
        <v>13</v>
      </c>
      <c r="AM315" s="37">
        <f>F315*AE315</f>
        <v>0</v>
      </c>
      <c r="AN315" s="37">
        <f>F315*AF315</f>
        <v>0</v>
      </c>
      <c r="AO315" s="38" t="s">
        <v>898</v>
      </c>
      <c r="AP315" s="38" t="s">
        <v>922</v>
      </c>
      <c r="AQ315" s="29" t="s">
        <v>926</v>
      </c>
      <c r="AS315" s="37">
        <f>AM315+AN315</f>
        <v>0</v>
      </c>
      <c r="AT315" s="37">
        <f>G315/(100-AU315)*100</f>
        <v>0</v>
      </c>
      <c r="AU315" s="37">
        <v>0</v>
      </c>
      <c r="AV315" s="37">
        <f>L315</f>
        <v>0.0041192</v>
      </c>
    </row>
    <row r="316" spans="4:6" ht="12.75">
      <c r="D316" s="15" t="s">
        <v>651</v>
      </c>
      <c r="F316" s="20">
        <v>5.42</v>
      </c>
    </row>
    <row r="317" spans="1:48" ht="12.75">
      <c r="A317" s="4" t="s">
        <v>146</v>
      </c>
      <c r="B317" s="4"/>
      <c r="C317" s="4" t="s">
        <v>360</v>
      </c>
      <c r="D317" s="4" t="s">
        <v>720</v>
      </c>
      <c r="E317" s="4" t="s">
        <v>837</v>
      </c>
      <c r="F317" s="19">
        <v>3.4</v>
      </c>
      <c r="G317" s="19">
        <v>0</v>
      </c>
      <c r="H317" s="19">
        <f>F317*AE317</f>
        <v>0</v>
      </c>
      <c r="I317" s="19">
        <f>J317-H317</f>
        <v>0</v>
      </c>
      <c r="J317" s="19">
        <f>F317*G317</f>
        <v>0</v>
      </c>
      <c r="K317" s="19">
        <v>0.00272</v>
      </c>
      <c r="L317" s="19">
        <f>F317*K317</f>
        <v>0.009248000000000001</v>
      </c>
      <c r="M317" s="32" t="s">
        <v>863</v>
      </c>
      <c r="P317" s="37">
        <f>IF(AG317="5",J317,0)</f>
        <v>0</v>
      </c>
      <c r="R317" s="37">
        <f>IF(AG317="1",H317,0)</f>
        <v>0</v>
      </c>
      <c r="S317" s="37">
        <f>IF(AG317="1",I317,0)</f>
        <v>0</v>
      </c>
      <c r="T317" s="37">
        <f>IF(AG317="7",H317,0)</f>
        <v>0</v>
      </c>
      <c r="U317" s="37">
        <f>IF(AG317="7",I317,0)</f>
        <v>0</v>
      </c>
      <c r="V317" s="37">
        <f>IF(AG317="2",H317,0)</f>
        <v>0</v>
      </c>
      <c r="W317" s="37">
        <f>IF(AG317="2",I317,0)</f>
        <v>0</v>
      </c>
      <c r="X317" s="37">
        <f>IF(AG317="0",J317,0)</f>
        <v>0</v>
      </c>
      <c r="Y317" s="29"/>
      <c r="Z317" s="19">
        <f>IF(AD317=0,J317,0)</f>
        <v>0</v>
      </c>
      <c r="AA317" s="19">
        <f>IF(AD317=15,J317,0)</f>
        <v>0</v>
      </c>
      <c r="AB317" s="19">
        <f>IF(AD317=21,J317,0)</f>
        <v>0</v>
      </c>
      <c r="AD317" s="37">
        <v>21</v>
      </c>
      <c r="AE317" s="37">
        <f>G317*0.314765478424015</f>
        <v>0</v>
      </c>
      <c r="AF317" s="37">
        <f>G317*(1-0.314765478424015)</f>
        <v>0</v>
      </c>
      <c r="AG317" s="32" t="s">
        <v>13</v>
      </c>
      <c r="AM317" s="37">
        <f>F317*AE317</f>
        <v>0</v>
      </c>
      <c r="AN317" s="37">
        <f>F317*AF317</f>
        <v>0</v>
      </c>
      <c r="AO317" s="38" t="s">
        <v>898</v>
      </c>
      <c r="AP317" s="38" t="s">
        <v>922</v>
      </c>
      <c r="AQ317" s="29" t="s">
        <v>926</v>
      </c>
      <c r="AS317" s="37">
        <f>AM317+AN317</f>
        <v>0</v>
      </c>
      <c r="AT317" s="37">
        <f>G317/(100-AU317)*100</f>
        <v>0</v>
      </c>
      <c r="AU317" s="37">
        <v>0</v>
      </c>
      <c r="AV317" s="37">
        <f>L317</f>
        <v>0.009248000000000001</v>
      </c>
    </row>
    <row r="318" spans="4:6" ht="12.75">
      <c r="D318" s="15" t="s">
        <v>721</v>
      </c>
      <c r="F318" s="20">
        <v>3.4</v>
      </c>
    </row>
    <row r="319" spans="1:48" ht="12.75">
      <c r="A319" s="4" t="s">
        <v>147</v>
      </c>
      <c r="B319" s="4"/>
      <c r="C319" s="4" t="s">
        <v>361</v>
      </c>
      <c r="D319" s="4" t="s">
        <v>722</v>
      </c>
      <c r="E319" s="4" t="s">
        <v>837</v>
      </c>
      <c r="F319" s="19">
        <v>1.4</v>
      </c>
      <c r="G319" s="19">
        <v>0</v>
      </c>
      <c r="H319" s="19">
        <f>F319*AE319</f>
        <v>0</v>
      </c>
      <c r="I319" s="19">
        <f>J319-H319</f>
        <v>0</v>
      </c>
      <c r="J319" s="19">
        <f>F319*G319</f>
        <v>0</v>
      </c>
      <c r="K319" s="19">
        <v>0.00341</v>
      </c>
      <c r="L319" s="19">
        <f>F319*K319</f>
        <v>0.004774</v>
      </c>
      <c r="M319" s="32" t="s">
        <v>863</v>
      </c>
      <c r="P319" s="37">
        <f>IF(AG319="5",J319,0)</f>
        <v>0</v>
      </c>
      <c r="R319" s="37">
        <f>IF(AG319="1",H319,0)</f>
        <v>0</v>
      </c>
      <c r="S319" s="37">
        <f>IF(AG319="1",I319,0)</f>
        <v>0</v>
      </c>
      <c r="T319" s="37">
        <f>IF(AG319="7",H319,0)</f>
        <v>0</v>
      </c>
      <c r="U319" s="37">
        <f>IF(AG319="7",I319,0)</f>
        <v>0</v>
      </c>
      <c r="V319" s="37">
        <f>IF(AG319="2",H319,0)</f>
        <v>0</v>
      </c>
      <c r="W319" s="37">
        <f>IF(AG319="2",I319,0)</f>
        <v>0</v>
      </c>
      <c r="X319" s="37">
        <f>IF(AG319="0",J319,0)</f>
        <v>0</v>
      </c>
      <c r="Y319" s="29"/>
      <c r="Z319" s="19">
        <f>IF(AD319=0,J319,0)</f>
        <v>0</v>
      </c>
      <c r="AA319" s="19">
        <f>IF(AD319=15,J319,0)</f>
        <v>0</v>
      </c>
      <c r="AB319" s="19">
        <f>IF(AD319=21,J319,0)</f>
        <v>0</v>
      </c>
      <c r="AD319" s="37">
        <v>21</v>
      </c>
      <c r="AE319" s="37">
        <f>G319*0.419147909967846</f>
        <v>0</v>
      </c>
      <c r="AF319" s="37">
        <f>G319*(1-0.419147909967846)</f>
        <v>0</v>
      </c>
      <c r="AG319" s="32" t="s">
        <v>13</v>
      </c>
      <c r="AM319" s="37">
        <f>F319*AE319</f>
        <v>0</v>
      </c>
      <c r="AN319" s="37">
        <f>F319*AF319</f>
        <v>0</v>
      </c>
      <c r="AO319" s="38" t="s">
        <v>898</v>
      </c>
      <c r="AP319" s="38" t="s">
        <v>922</v>
      </c>
      <c r="AQ319" s="29" t="s">
        <v>926</v>
      </c>
      <c r="AS319" s="37">
        <f>AM319+AN319</f>
        <v>0</v>
      </c>
      <c r="AT319" s="37">
        <f>G319/(100-AU319)*100</f>
        <v>0</v>
      </c>
      <c r="AU319" s="37">
        <v>0</v>
      </c>
      <c r="AV319" s="37">
        <f>L319</f>
        <v>0.004774</v>
      </c>
    </row>
    <row r="320" spans="4:6" ht="12.75">
      <c r="D320" s="15" t="s">
        <v>723</v>
      </c>
      <c r="F320" s="20">
        <v>1.4</v>
      </c>
    </row>
    <row r="321" spans="1:48" ht="12.75">
      <c r="A321" s="4" t="s">
        <v>148</v>
      </c>
      <c r="B321" s="4"/>
      <c r="C321" s="4" t="s">
        <v>362</v>
      </c>
      <c r="D321" s="4" t="s">
        <v>724</v>
      </c>
      <c r="E321" s="4" t="s">
        <v>837</v>
      </c>
      <c r="F321" s="19">
        <v>2</v>
      </c>
      <c r="G321" s="19">
        <v>0</v>
      </c>
      <c r="H321" s="19">
        <f>F321*AE321</f>
        <v>0</v>
      </c>
      <c r="I321" s="19">
        <f>J321-H321</f>
        <v>0</v>
      </c>
      <c r="J321" s="19">
        <f>F321*G321</f>
        <v>0</v>
      </c>
      <c r="K321" s="19">
        <v>0.00159</v>
      </c>
      <c r="L321" s="19">
        <f>F321*K321</f>
        <v>0.00318</v>
      </c>
      <c r="M321" s="32" t="s">
        <v>863</v>
      </c>
      <c r="P321" s="37">
        <f>IF(AG321="5",J321,0)</f>
        <v>0</v>
      </c>
      <c r="R321" s="37">
        <f>IF(AG321="1",H321,0)</f>
        <v>0</v>
      </c>
      <c r="S321" s="37">
        <f>IF(AG321="1",I321,0)</f>
        <v>0</v>
      </c>
      <c r="T321" s="37">
        <f>IF(AG321="7",H321,0)</f>
        <v>0</v>
      </c>
      <c r="U321" s="37">
        <f>IF(AG321="7",I321,0)</f>
        <v>0</v>
      </c>
      <c r="V321" s="37">
        <f>IF(AG321="2",H321,0)</f>
        <v>0</v>
      </c>
      <c r="W321" s="37">
        <f>IF(AG321="2",I321,0)</f>
        <v>0</v>
      </c>
      <c r="X321" s="37">
        <f>IF(AG321="0",J321,0)</f>
        <v>0</v>
      </c>
      <c r="Y321" s="29"/>
      <c r="Z321" s="19">
        <f>IF(AD321=0,J321,0)</f>
        <v>0</v>
      </c>
      <c r="AA321" s="19">
        <f>IF(AD321=15,J321,0)</f>
        <v>0</v>
      </c>
      <c r="AB321" s="19">
        <f>IF(AD321=21,J321,0)</f>
        <v>0</v>
      </c>
      <c r="AD321" s="37">
        <v>21</v>
      </c>
      <c r="AE321" s="37">
        <f>G321*0.690356266489548</f>
        <v>0</v>
      </c>
      <c r="AF321" s="37">
        <f>G321*(1-0.690356266489548)</f>
        <v>0</v>
      </c>
      <c r="AG321" s="32" t="s">
        <v>13</v>
      </c>
      <c r="AM321" s="37">
        <f>F321*AE321</f>
        <v>0</v>
      </c>
      <c r="AN321" s="37">
        <f>F321*AF321</f>
        <v>0</v>
      </c>
      <c r="AO321" s="38" t="s">
        <v>898</v>
      </c>
      <c r="AP321" s="38" t="s">
        <v>922</v>
      </c>
      <c r="AQ321" s="29" t="s">
        <v>926</v>
      </c>
      <c r="AS321" s="37">
        <f>AM321+AN321</f>
        <v>0</v>
      </c>
      <c r="AT321" s="37">
        <f>G321/(100-AU321)*100</f>
        <v>0</v>
      </c>
      <c r="AU321" s="37">
        <v>0</v>
      </c>
      <c r="AV321" s="37">
        <f>L321</f>
        <v>0.00318</v>
      </c>
    </row>
    <row r="322" spans="4:6" ht="12.75">
      <c r="D322" s="15" t="s">
        <v>8</v>
      </c>
      <c r="F322" s="20">
        <v>2</v>
      </c>
    </row>
    <row r="323" spans="1:48" ht="12.75">
      <c r="A323" s="4" t="s">
        <v>149</v>
      </c>
      <c r="B323" s="4"/>
      <c r="C323" s="4" t="s">
        <v>363</v>
      </c>
      <c r="D323" s="4" t="s">
        <v>725</v>
      </c>
      <c r="E323" s="4" t="s">
        <v>839</v>
      </c>
      <c r="F323" s="19">
        <v>1</v>
      </c>
      <c r="G323" s="19">
        <v>0</v>
      </c>
      <c r="H323" s="19">
        <f>F323*AE323</f>
        <v>0</v>
      </c>
      <c r="I323" s="19">
        <f>J323-H323</f>
        <v>0</v>
      </c>
      <c r="J323" s="19">
        <f>F323*G323</f>
        <v>0</v>
      </c>
      <c r="K323" s="19">
        <v>0.00046</v>
      </c>
      <c r="L323" s="19">
        <f>F323*K323</f>
        <v>0.00046</v>
      </c>
      <c r="M323" s="32" t="s">
        <v>863</v>
      </c>
      <c r="P323" s="37">
        <f>IF(AG323="5",J323,0)</f>
        <v>0</v>
      </c>
      <c r="R323" s="37">
        <f>IF(AG323="1",H323,0)</f>
        <v>0</v>
      </c>
      <c r="S323" s="37">
        <f>IF(AG323="1",I323,0)</f>
        <v>0</v>
      </c>
      <c r="T323" s="37">
        <f>IF(AG323="7",H323,0)</f>
        <v>0</v>
      </c>
      <c r="U323" s="37">
        <f>IF(AG323="7",I323,0)</f>
        <v>0</v>
      </c>
      <c r="V323" s="37">
        <f>IF(AG323="2",H323,0)</f>
        <v>0</v>
      </c>
      <c r="W323" s="37">
        <f>IF(AG323="2",I323,0)</f>
        <v>0</v>
      </c>
      <c r="X323" s="37">
        <f>IF(AG323="0",J323,0)</f>
        <v>0</v>
      </c>
      <c r="Y323" s="29"/>
      <c r="Z323" s="19">
        <f>IF(AD323=0,J323,0)</f>
        <v>0</v>
      </c>
      <c r="AA323" s="19">
        <f>IF(AD323=15,J323,0)</f>
        <v>0</v>
      </c>
      <c r="AB323" s="19">
        <f>IF(AD323=21,J323,0)</f>
        <v>0</v>
      </c>
      <c r="AD323" s="37">
        <v>21</v>
      </c>
      <c r="AE323" s="37">
        <f>G323*0.790375939849624</f>
        <v>0</v>
      </c>
      <c r="AF323" s="37">
        <f>G323*(1-0.790375939849624)</f>
        <v>0</v>
      </c>
      <c r="AG323" s="32" t="s">
        <v>13</v>
      </c>
      <c r="AM323" s="37">
        <f>F323*AE323</f>
        <v>0</v>
      </c>
      <c r="AN323" s="37">
        <f>F323*AF323</f>
        <v>0</v>
      </c>
      <c r="AO323" s="38" t="s">
        <v>898</v>
      </c>
      <c r="AP323" s="38" t="s">
        <v>922</v>
      </c>
      <c r="AQ323" s="29" t="s">
        <v>926</v>
      </c>
      <c r="AS323" s="37">
        <f>AM323+AN323</f>
        <v>0</v>
      </c>
      <c r="AT323" s="37">
        <f>G323/(100-AU323)*100</f>
        <v>0</v>
      </c>
      <c r="AU323" s="37">
        <v>0</v>
      </c>
      <c r="AV323" s="37">
        <f>L323</f>
        <v>0.00046</v>
      </c>
    </row>
    <row r="324" spans="1:48" ht="12.75">
      <c r="A324" s="4" t="s">
        <v>150</v>
      </c>
      <c r="B324" s="4"/>
      <c r="C324" s="4" t="s">
        <v>364</v>
      </c>
      <c r="D324" s="4" t="s">
        <v>726</v>
      </c>
      <c r="E324" s="4" t="s">
        <v>840</v>
      </c>
      <c r="F324" s="19">
        <v>0.05</v>
      </c>
      <c r="G324" s="19">
        <v>0</v>
      </c>
      <c r="H324" s="19">
        <f>F324*AE324</f>
        <v>0</v>
      </c>
      <c r="I324" s="19">
        <f>J324-H324</f>
        <v>0</v>
      </c>
      <c r="J324" s="19">
        <f>F324*G324</f>
        <v>0</v>
      </c>
      <c r="K324" s="19">
        <v>0</v>
      </c>
      <c r="L324" s="19">
        <f>F324*K324</f>
        <v>0</v>
      </c>
      <c r="M324" s="32" t="s">
        <v>863</v>
      </c>
      <c r="P324" s="37">
        <f>IF(AG324="5",J324,0)</f>
        <v>0</v>
      </c>
      <c r="R324" s="37">
        <f>IF(AG324="1",H324,0)</f>
        <v>0</v>
      </c>
      <c r="S324" s="37">
        <f>IF(AG324="1",I324,0)</f>
        <v>0</v>
      </c>
      <c r="T324" s="37">
        <f>IF(AG324="7",H324,0)</f>
        <v>0</v>
      </c>
      <c r="U324" s="37">
        <f>IF(AG324="7",I324,0)</f>
        <v>0</v>
      </c>
      <c r="V324" s="37">
        <f>IF(AG324="2",H324,0)</f>
        <v>0</v>
      </c>
      <c r="W324" s="37">
        <f>IF(AG324="2",I324,0)</f>
        <v>0</v>
      </c>
      <c r="X324" s="37">
        <f>IF(AG324="0",J324,0)</f>
        <v>0</v>
      </c>
      <c r="Y324" s="29"/>
      <c r="Z324" s="19">
        <f>IF(AD324=0,J324,0)</f>
        <v>0</v>
      </c>
      <c r="AA324" s="19">
        <f>IF(AD324=15,J324,0)</f>
        <v>0</v>
      </c>
      <c r="AB324" s="19">
        <f>IF(AD324=21,J324,0)</f>
        <v>0</v>
      </c>
      <c r="AD324" s="37">
        <v>21</v>
      </c>
      <c r="AE324" s="37">
        <f>G324*0</f>
        <v>0</v>
      </c>
      <c r="AF324" s="37">
        <f>G324*(1-0)</f>
        <v>0</v>
      </c>
      <c r="AG324" s="32" t="s">
        <v>11</v>
      </c>
      <c r="AM324" s="37">
        <f>F324*AE324</f>
        <v>0</v>
      </c>
      <c r="AN324" s="37">
        <f>F324*AF324</f>
        <v>0</v>
      </c>
      <c r="AO324" s="38" t="s">
        <v>898</v>
      </c>
      <c r="AP324" s="38" t="s">
        <v>922</v>
      </c>
      <c r="AQ324" s="29" t="s">
        <v>926</v>
      </c>
      <c r="AS324" s="37">
        <f>AM324+AN324</f>
        <v>0</v>
      </c>
      <c r="AT324" s="37">
        <f>G324/(100-AU324)*100</f>
        <v>0</v>
      </c>
      <c r="AU324" s="37">
        <v>0</v>
      </c>
      <c r="AV324" s="37">
        <f>L324</f>
        <v>0</v>
      </c>
    </row>
    <row r="325" spans="1:37" ht="12.75">
      <c r="A325" s="5"/>
      <c r="B325" s="13"/>
      <c r="C325" s="13" t="s">
        <v>365</v>
      </c>
      <c r="D325" s="13" t="s">
        <v>727</v>
      </c>
      <c r="E325" s="5" t="s">
        <v>6</v>
      </c>
      <c r="F325" s="5" t="s">
        <v>6</v>
      </c>
      <c r="G325" s="5" t="s">
        <v>6</v>
      </c>
      <c r="H325" s="40">
        <f>SUM(H326:H341)</f>
        <v>0</v>
      </c>
      <c r="I325" s="40">
        <f>SUM(I326:I341)</f>
        <v>0</v>
      </c>
      <c r="J325" s="40">
        <f>H325+I325</f>
        <v>0</v>
      </c>
      <c r="K325" s="29"/>
      <c r="L325" s="40">
        <f>SUM(L326:L341)</f>
        <v>0.26710999999999996</v>
      </c>
      <c r="M325" s="29"/>
      <c r="Y325" s="29"/>
      <c r="AI325" s="40">
        <f>SUM(Z326:Z341)</f>
        <v>0</v>
      </c>
      <c r="AJ325" s="40">
        <f>SUM(AA326:AA341)</f>
        <v>0</v>
      </c>
      <c r="AK325" s="40">
        <f>SUM(AB326:AB341)</f>
        <v>0</v>
      </c>
    </row>
    <row r="326" spans="1:48" ht="12.75">
      <c r="A326" s="4" t="s">
        <v>151</v>
      </c>
      <c r="B326" s="4"/>
      <c r="C326" s="4" t="s">
        <v>366</v>
      </c>
      <c r="D326" s="4" t="s">
        <v>728</v>
      </c>
      <c r="E326" s="4" t="s">
        <v>839</v>
      </c>
      <c r="F326" s="19">
        <v>4</v>
      </c>
      <c r="G326" s="19">
        <v>0</v>
      </c>
      <c r="H326" s="19">
        <f aca="true" t="shared" si="40" ref="H326:H334">F326*AE326</f>
        <v>0</v>
      </c>
      <c r="I326" s="19">
        <f aca="true" t="shared" si="41" ref="I326:I334">J326-H326</f>
        <v>0</v>
      </c>
      <c r="J326" s="19">
        <f aca="true" t="shared" si="42" ref="J326:J334">F326*G326</f>
        <v>0</v>
      </c>
      <c r="K326" s="19">
        <v>0.00147</v>
      </c>
      <c r="L326" s="19">
        <f aca="true" t="shared" si="43" ref="L326:L334">F326*K326</f>
        <v>0.00588</v>
      </c>
      <c r="M326" s="32" t="s">
        <v>863</v>
      </c>
      <c r="P326" s="37">
        <f aca="true" t="shared" si="44" ref="P326:P334">IF(AG326="5",J326,0)</f>
        <v>0</v>
      </c>
      <c r="R326" s="37">
        <f aca="true" t="shared" si="45" ref="R326:R334">IF(AG326="1",H326,0)</f>
        <v>0</v>
      </c>
      <c r="S326" s="37">
        <f aca="true" t="shared" si="46" ref="S326:S334">IF(AG326="1",I326,0)</f>
        <v>0</v>
      </c>
      <c r="T326" s="37">
        <f aca="true" t="shared" si="47" ref="T326:T334">IF(AG326="7",H326,0)</f>
        <v>0</v>
      </c>
      <c r="U326" s="37">
        <f aca="true" t="shared" si="48" ref="U326:U334">IF(AG326="7",I326,0)</f>
        <v>0</v>
      </c>
      <c r="V326" s="37">
        <f aca="true" t="shared" si="49" ref="V326:V334">IF(AG326="2",H326,0)</f>
        <v>0</v>
      </c>
      <c r="W326" s="37">
        <f aca="true" t="shared" si="50" ref="W326:W334">IF(AG326="2",I326,0)</f>
        <v>0</v>
      </c>
      <c r="X326" s="37">
        <f aca="true" t="shared" si="51" ref="X326:X334">IF(AG326="0",J326,0)</f>
        <v>0</v>
      </c>
      <c r="Y326" s="29"/>
      <c r="Z326" s="19">
        <f aca="true" t="shared" si="52" ref="Z326:Z334">IF(AD326=0,J326,0)</f>
        <v>0</v>
      </c>
      <c r="AA326" s="19">
        <f aca="true" t="shared" si="53" ref="AA326:AA334">IF(AD326=15,J326,0)</f>
        <v>0</v>
      </c>
      <c r="AB326" s="19">
        <f aca="true" t="shared" si="54" ref="AB326:AB334">IF(AD326=21,J326,0)</f>
        <v>0</v>
      </c>
      <c r="AD326" s="37">
        <v>21</v>
      </c>
      <c r="AE326" s="37">
        <f>G326*0.278620689655172</f>
        <v>0</v>
      </c>
      <c r="AF326" s="37">
        <f>G326*(1-0.278620689655172)</f>
        <v>0</v>
      </c>
      <c r="AG326" s="32" t="s">
        <v>13</v>
      </c>
      <c r="AM326" s="37">
        <f aca="true" t="shared" si="55" ref="AM326:AM334">F326*AE326</f>
        <v>0</v>
      </c>
      <c r="AN326" s="37">
        <f aca="true" t="shared" si="56" ref="AN326:AN334">F326*AF326</f>
        <v>0</v>
      </c>
      <c r="AO326" s="38" t="s">
        <v>899</v>
      </c>
      <c r="AP326" s="38" t="s">
        <v>922</v>
      </c>
      <c r="AQ326" s="29" t="s">
        <v>926</v>
      </c>
      <c r="AS326" s="37">
        <f aca="true" t="shared" si="57" ref="AS326:AS334">AM326+AN326</f>
        <v>0</v>
      </c>
      <c r="AT326" s="37">
        <f aca="true" t="shared" si="58" ref="AT326:AT334">G326/(100-AU326)*100</f>
        <v>0</v>
      </c>
      <c r="AU326" s="37">
        <v>0</v>
      </c>
      <c r="AV326" s="37">
        <f aca="true" t="shared" si="59" ref="AV326:AV334">L326</f>
        <v>0.00588</v>
      </c>
    </row>
    <row r="327" spans="1:48" ht="12.75">
      <c r="A327" s="6" t="s">
        <v>152</v>
      </c>
      <c r="B327" s="6"/>
      <c r="C327" s="6" t="s">
        <v>367</v>
      </c>
      <c r="D327" s="6" t="s">
        <v>729</v>
      </c>
      <c r="E327" s="6" t="s">
        <v>845</v>
      </c>
      <c r="F327" s="21">
        <v>2</v>
      </c>
      <c r="G327" s="21">
        <v>0</v>
      </c>
      <c r="H327" s="21">
        <f t="shared" si="40"/>
        <v>0</v>
      </c>
      <c r="I327" s="21">
        <f t="shared" si="41"/>
        <v>0</v>
      </c>
      <c r="J327" s="21">
        <f t="shared" si="42"/>
        <v>0</v>
      </c>
      <c r="K327" s="21">
        <v>0</v>
      </c>
      <c r="L327" s="21">
        <f t="shared" si="43"/>
        <v>0</v>
      </c>
      <c r="M327" s="33" t="s">
        <v>864</v>
      </c>
      <c r="P327" s="37">
        <f t="shared" si="44"/>
        <v>0</v>
      </c>
      <c r="R327" s="37">
        <f t="shared" si="45"/>
        <v>0</v>
      </c>
      <c r="S327" s="37">
        <f t="shared" si="46"/>
        <v>0</v>
      </c>
      <c r="T327" s="37">
        <f t="shared" si="47"/>
        <v>0</v>
      </c>
      <c r="U327" s="37">
        <f t="shared" si="48"/>
        <v>0</v>
      </c>
      <c r="V327" s="37">
        <f t="shared" si="49"/>
        <v>0</v>
      </c>
      <c r="W327" s="37">
        <f t="shared" si="50"/>
        <v>0</v>
      </c>
      <c r="X327" s="37">
        <f t="shared" si="51"/>
        <v>0</v>
      </c>
      <c r="Y327" s="29"/>
      <c r="Z327" s="21">
        <f t="shared" si="52"/>
        <v>0</v>
      </c>
      <c r="AA327" s="21">
        <f t="shared" si="53"/>
        <v>0</v>
      </c>
      <c r="AB327" s="21">
        <f t="shared" si="54"/>
        <v>0</v>
      </c>
      <c r="AD327" s="37">
        <v>21</v>
      </c>
      <c r="AE327" s="37">
        <f>G327*1</f>
        <v>0</v>
      </c>
      <c r="AF327" s="37">
        <f>G327*(1-1)</f>
        <v>0</v>
      </c>
      <c r="AG327" s="33" t="s">
        <v>13</v>
      </c>
      <c r="AM327" s="37">
        <f t="shared" si="55"/>
        <v>0</v>
      </c>
      <c r="AN327" s="37">
        <f t="shared" si="56"/>
        <v>0</v>
      </c>
      <c r="AO327" s="38" t="s">
        <v>899</v>
      </c>
      <c r="AP327" s="38" t="s">
        <v>922</v>
      </c>
      <c r="AQ327" s="29" t="s">
        <v>926</v>
      </c>
      <c r="AS327" s="37">
        <f t="shared" si="57"/>
        <v>0</v>
      </c>
      <c r="AT327" s="37">
        <f t="shared" si="58"/>
        <v>0</v>
      </c>
      <c r="AU327" s="37">
        <v>0</v>
      </c>
      <c r="AV327" s="37">
        <f t="shared" si="59"/>
        <v>0</v>
      </c>
    </row>
    <row r="328" spans="1:48" ht="12.75">
      <c r="A328" s="4" t="s">
        <v>153</v>
      </c>
      <c r="B328" s="4"/>
      <c r="C328" s="4" t="s">
        <v>368</v>
      </c>
      <c r="D328" s="4" t="s">
        <v>730</v>
      </c>
      <c r="E328" s="4" t="s">
        <v>839</v>
      </c>
      <c r="F328" s="19">
        <v>5</v>
      </c>
      <c r="G328" s="19">
        <v>0</v>
      </c>
      <c r="H328" s="19">
        <f t="shared" si="40"/>
        <v>0</v>
      </c>
      <c r="I328" s="19">
        <f t="shared" si="41"/>
        <v>0</v>
      </c>
      <c r="J328" s="19">
        <f t="shared" si="42"/>
        <v>0</v>
      </c>
      <c r="K328" s="19">
        <v>0.0009</v>
      </c>
      <c r="L328" s="19">
        <f t="shared" si="43"/>
        <v>0.0045</v>
      </c>
      <c r="M328" s="32" t="s">
        <v>863</v>
      </c>
      <c r="P328" s="37">
        <f t="shared" si="44"/>
        <v>0</v>
      </c>
      <c r="R328" s="37">
        <f t="shared" si="45"/>
        <v>0</v>
      </c>
      <c r="S328" s="37">
        <f t="shared" si="46"/>
        <v>0</v>
      </c>
      <c r="T328" s="37">
        <f t="shared" si="47"/>
        <v>0</v>
      </c>
      <c r="U328" s="37">
        <f t="shared" si="48"/>
        <v>0</v>
      </c>
      <c r="V328" s="37">
        <f t="shared" si="49"/>
        <v>0</v>
      </c>
      <c r="W328" s="37">
        <f t="shared" si="50"/>
        <v>0</v>
      </c>
      <c r="X328" s="37">
        <f t="shared" si="51"/>
        <v>0</v>
      </c>
      <c r="Y328" s="29"/>
      <c r="Z328" s="19">
        <f t="shared" si="52"/>
        <v>0</v>
      </c>
      <c r="AA328" s="19">
        <f t="shared" si="53"/>
        <v>0</v>
      </c>
      <c r="AB328" s="19">
        <f t="shared" si="54"/>
        <v>0</v>
      </c>
      <c r="AD328" s="37">
        <v>21</v>
      </c>
      <c r="AE328" s="37">
        <f>G328*0.071163967611336</f>
        <v>0</v>
      </c>
      <c r="AF328" s="37">
        <f>G328*(1-0.071163967611336)</f>
        <v>0</v>
      </c>
      <c r="AG328" s="32" t="s">
        <v>13</v>
      </c>
      <c r="AM328" s="37">
        <f t="shared" si="55"/>
        <v>0</v>
      </c>
      <c r="AN328" s="37">
        <f t="shared" si="56"/>
        <v>0</v>
      </c>
      <c r="AO328" s="38" t="s">
        <v>899</v>
      </c>
      <c r="AP328" s="38" t="s">
        <v>922</v>
      </c>
      <c r="AQ328" s="29" t="s">
        <v>926</v>
      </c>
      <c r="AS328" s="37">
        <f t="shared" si="57"/>
        <v>0</v>
      </c>
      <c r="AT328" s="37">
        <f t="shared" si="58"/>
        <v>0</v>
      </c>
      <c r="AU328" s="37">
        <v>0</v>
      </c>
      <c r="AV328" s="37">
        <f t="shared" si="59"/>
        <v>0.0045</v>
      </c>
    </row>
    <row r="329" spans="1:48" ht="12.75">
      <c r="A329" s="6" t="s">
        <v>154</v>
      </c>
      <c r="B329" s="6"/>
      <c r="C329" s="6" t="s">
        <v>369</v>
      </c>
      <c r="D329" s="6" t="s">
        <v>731</v>
      </c>
      <c r="E329" s="6" t="s">
        <v>839</v>
      </c>
      <c r="F329" s="21">
        <v>3</v>
      </c>
      <c r="G329" s="21">
        <v>0</v>
      </c>
      <c r="H329" s="21">
        <f t="shared" si="40"/>
        <v>0</v>
      </c>
      <c r="I329" s="21">
        <f t="shared" si="41"/>
        <v>0</v>
      </c>
      <c r="J329" s="21">
        <f t="shared" si="42"/>
        <v>0</v>
      </c>
      <c r="K329" s="21">
        <v>0.0282</v>
      </c>
      <c r="L329" s="21">
        <f t="shared" si="43"/>
        <v>0.0846</v>
      </c>
      <c r="M329" s="33" t="s">
        <v>863</v>
      </c>
      <c r="P329" s="37">
        <f t="shared" si="44"/>
        <v>0</v>
      </c>
      <c r="R329" s="37">
        <f t="shared" si="45"/>
        <v>0</v>
      </c>
      <c r="S329" s="37">
        <f t="shared" si="46"/>
        <v>0</v>
      </c>
      <c r="T329" s="37">
        <f t="shared" si="47"/>
        <v>0</v>
      </c>
      <c r="U329" s="37">
        <f t="shared" si="48"/>
        <v>0</v>
      </c>
      <c r="V329" s="37">
        <f t="shared" si="49"/>
        <v>0</v>
      </c>
      <c r="W329" s="37">
        <f t="shared" si="50"/>
        <v>0</v>
      </c>
      <c r="X329" s="37">
        <f t="shared" si="51"/>
        <v>0</v>
      </c>
      <c r="Y329" s="29"/>
      <c r="Z329" s="21">
        <f t="shared" si="52"/>
        <v>0</v>
      </c>
      <c r="AA329" s="21">
        <f t="shared" si="53"/>
        <v>0</v>
      </c>
      <c r="AB329" s="21">
        <f t="shared" si="54"/>
        <v>0</v>
      </c>
      <c r="AD329" s="37">
        <v>21</v>
      </c>
      <c r="AE329" s="37">
        <f>G329*1</f>
        <v>0</v>
      </c>
      <c r="AF329" s="37">
        <f>G329*(1-1)</f>
        <v>0</v>
      </c>
      <c r="AG329" s="33" t="s">
        <v>13</v>
      </c>
      <c r="AM329" s="37">
        <f t="shared" si="55"/>
        <v>0</v>
      </c>
      <c r="AN329" s="37">
        <f t="shared" si="56"/>
        <v>0</v>
      </c>
      <c r="AO329" s="38" t="s">
        <v>899</v>
      </c>
      <c r="AP329" s="38" t="s">
        <v>922</v>
      </c>
      <c r="AQ329" s="29" t="s">
        <v>926</v>
      </c>
      <c r="AS329" s="37">
        <f t="shared" si="57"/>
        <v>0</v>
      </c>
      <c r="AT329" s="37">
        <f t="shared" si="58"/>
        <v>0</v>
      </c>
      <c r="AU329" s="37">
        <v>0</v>
      </c>
      <c r="AV329" s="37">
        <f t="shared" si="59"/>
        <v>0.0846</v>
      </c>
    </row>
    <row r="330" spans="1:48" ht="12.75">
      <c r="A330" s="6" t="s">
        <v>155</v>
      </c>
      <c r="B330" s="6"/>
      <c r="C330" s="6" t="s">
        <v>370</v>
      </c>
      <c r="D330" s="6" t="s">
        <v>732</v>
      </c>
      <c r="E330" s="6" t="s">
        <v>839</v>
      </c>
      <c r="F330" s="21">
        <v>2</v>
      </c>
      <c r="G330" s="21">
        <v>0</v>
      </c>
      <c r="H330" s="21">
        <f t="shared" si="40"/>
        <v>0</v>
      </c>
      <c r="I330" s="21">
        <f t="shared" si="41"/>
        <v>0</v>
      </c>
      <c r="J330" s="21">
        <f t="shared" si="42"/>
        <v>0</v>
      </c>
      <c r="K330" s="21">
        <v>0.015</v>
      </c>
      <c r="L330" s="21">
        <f t="shared" si="43"/>
        <v>0.03</v>
      </c>
      <c r="M330" s="33" t="s">
        <v>863</v>
      </c>
      <c r="P330" s="37">
        <f t="shared" si="44"/>
        <v>0</v>
      </c>
      <c r="R330" s="37">
        <f t="shared" si="45"/>
        <v>0</v>
      </c>
      <c r="S330" s="37">
        <f t="shared" si="46"/>
        <v>0</v>
      </c>
      <c r="T330" s="37">
        <f t="shared" si="47"/>
        <v>0</v>
      </c>
      <c r="U330" s="37">
        <f t="shared" si="48"/>
        <v>0</v>
      </c>
      <c r="V330" s="37">
        <f t="shared" si="49"/>
        <v>0</v>
      </c>
      <c r="W330" s="37">
        <f t="shared" si="50"/>
        <v>0</v>
      </c>
      <c r="X330" s="37">
        <f t="shared" si="51"/>
        <v>0</v>
      </c>
      <c r="Y330" s="29"/>
      <c r="Z330" s="21">
        <f t="shared" si="52"/>
        <v>0</v>
      </c>
      <c r="AA330" s="21">
        <f t="shared" si="53"/>
        <v>0</v>
      </c>
      <c r="AB330" s="21">
        <f t="shared" si="54"/>
        <v>0</v>
      </c>
      <c r="AD330" s="37">
        <v>21</v>
      </c>
      <c r="AE330" s="37">
        <f>G330*1</f>
        <v>0</v>
      </c>
      <c r="AF330" s="37">
        <f>G330*(1-1)</f>
        <v>0</v>
      </c>
      <c r="AG330" s="33" t="s">
        <v>13</v>
      </c>
      <c r="AM330" s="37">
        <f t="shared" si="55"/>
        <v>0</v>
      </c>
      <c r="AN330" s="37">
        <f t="shared" si="56"/>
        <v>0</v>
      </c>
      <c r="AO330" s="38" t="s">
        <v>899</v>
      </c>
      <c r="AP330" s="38" t="s">
        <v>922</v>
      </c>
      <c r="AQ330" s="29" t="s">
        <v>926</v>
      </c>
      <c r="AS330" s="37">
        <f t="shared" si="57"/>
        <v>0</v>
      </c>
      <c r="AT330" s="37">
        <f t="shared" si="58"/>
        <v>0</v>
      </c>
      <c r="AU330" s="37">
        <v>0</v>
      </c>
      <c r="AV330" s="37">
        <f t="shared" si="59"/>
        <v>0.03</v>
      </c>
    </row>
    <row r="331" spans="1:48" ht="12.75">
      <c r="A331" s="4" t="s">
        <v>156</v>
      </c>
      <c r="B331" s="4"/>
      <c r="C331" s="4" t="s">
        <v>371</v>
      </c>
      <c r="D331" s="4" t="s">
        <v>733</v>
      </c>
      <c r="E331" s="4" t="s">
        <v>839</v>
      </c>
      <c r="F331" s="19">
        <v>2</v>
      </c>
      <c r="G331" s="19">
        <v>0</v>
      </c>
      <c r="H331" s="19">
        <f t="shared" si="40"/>
        <v>0</v>
      </c>
      <c r="I331" s="19">
        <f t="shared" si="41"/>
        <v>0</v>
      </c>
      <c r="J331" s="19">
        <f t="shared" si="42"/>
        <v>0</v>
      </c>
      <c r="K331" s="19">
        <v>0.00168</v>
      </c>
      <c r="L331" s="19">
        <f t="shared" si="43"/>
        <v>0.00336</v>
      </c>
      <c r="M331" s="32" t="s">
        <v>863</v>
      </c>
      <c r="P331" s="37">
        <f t="shared" si="44"/>
        <v>0</v>
      </c>
      <c r="R331" s="37">
        <f t="shared" si="45"/>
        <v>0</v>
      </c>
      <c r="S331" s="37">
        <f t="shared" si="46"/>
        <v>0</v>
      </c>
      <c r="T331" s="37">
        <f t="shared" si="47"/>
        <v>0</v>
      </c>
      <c r="U331" s="37">
        <f t="shared" si="48"/>
        <v>0</v>
      </c>
      <c r="V331" s="37">
        <f t="shared" si="49"/>
        <v>0</v>
      </c>
      <c r="W331" s="37">
        <f t="shared" si="50"/>
        <v>0</v>
      </c>
      <c r="X331" s="37">
        <f t="shared" si="51"/>
        <v>0</v>
      </c>
      <c r="Y331" s="29"/>
      <c r="Z331" s="19">
        <f t="shared" si="52"/>
        <v>0</v>
      </c>
      <c r="AA331" s="19">
        <f t="shared" si="53"/>
        <v>0</v>
      </c>
      <c r="AB331" s="19">
        <f t="shared" si="54"/>
        <v>0</v>
      </c>
      <c r="AD331" s="37">
        <v>21</v>
      </c>
      <c r="AE331" s="37">
        <f>G331*0.10784327821711</f>
        <v>0</v>
      </c>
      <c r="AF331" s="37">
        <f>G331*(1-0.10784327821711)</f>
        <v>0</v>
      </c>
      <c r="AG331" s="32" t="s">
        <v>13</v>
      </c>
      <c r="AM331" s="37">
        <f t="shared" si="55"/>
        <v>0</v>
      </c>
      <c r="AN331" s="37">
        <f t="shared" si="56"/>
        <v>0</v>
      </c>
      <c r="AO331" s="38" t="s">
        <v>899</v>
      </c>
      <c r="AP331" s="38" t="s">
        <v>922</v>
      </c>
      <c r="AQ331" s="29" t="s">
        <v>926</v>
      </c>
      <c r="AS331" s="37">
        <f t="shared" si="57"/>
        <v>0</v>
      </c>
      <c r="AT331" s="37">
        <f t="shared" si="58"/>
        <v>0</v>
      </c>
      <c r="AU331" s="37">
        <v>0</v>
      </c>
      <c r="AV331" s="37">
        <f t="shared" si="59"/>
        <v>0.00336</v>
      </c>
    </row>
    <row r="332" spans="1:48" ht="12.75">
      <c r="A332" s="6" t="s">
        <v>157</v>
      </c>
      <c r="B332" s="6"/>
      <c r="C332" s="6" t="s">
        <v>372</v>
      </c>
      <c r="D332" s="6" t="s">
        <v>734</v>
      </c>
      <c r="E332" s="6" t="s">
        <v>839</v>
      </c>
      <c r="F332" s="21">
        <v>2</v>
      </c>
      <c r="G332" s="21">
        <v>0</v>
      </c>
      <c r="H332" s="21">
        <f t="shared" si="40"/>
        <v>0</v>
      </c>
      <c r="I332" s="21">
        <f t="shared" si="41"/>
        <v>0</v>
      </c>
      <c r="J332" s="21">
        <f t="shared" si="42"/>
        <v>0</v>
      </c>
      <c r="K332" s="21">
        <v>0.034</v>
      </c>
      <c r="L332" s="21">
        <f t="shared" si="43"/>
        <v>0.068</v>
      </c>
      <c r="M332" s="33" t="s">
        <v>863</v>
      </c>
      <c r="P332" s="37">
        <f t="shared" si="44"/>
        <v>0</v>
      </c>
      <c r="R332" s="37">
        <f t="shared" si="45"/>
        <v>0</v>
      </c>
      <c r="S332" s="37">
        <f t="shared" si="46"/>
        <v>0</v>
      </c>
      <c r="T332" s="37">
        <f t="shared" si="47"/>
        <v>0</v>
      </c>
      <c r="U332" s="37">
        <f t="shared" si="48"/>
        <v>0</v>
      </c>
      <c r="V332" s="37">
        <f t="shared" si="49"/>
        <v>0</v>
      </c>
      <c r="W332" s="37">
        <f t="shared" si="50"/>
        <v>0</v>
      </c>
      <c r="X332" s="37">
        <f t="shared" si="51"/>
        <v>0</v>
      </c>
      <c r="Y332" s="29"/>
      <c r="Z332" s="21">
        <f t="shared" si="52"/>
        <v>0</v>
      </c>
      <c r="AA332" s="21">
        <f t="shared" si="53"/>
        <v>0</v>
      </c>
      <c r="AB332" s="21">
        <f t="shared" si="54"/>
        <v>0</v>
      </c>
      <c r="AD332" s="37">
        <v>21</v>
      </c>
      <c r="AE332" s="37">
        <f>G332*1</f>
        <v>0</v>
      </c>
      <c r="AF332" s="37">
        <f>G332*(1-1)</f>
        <v>0</v>
      </c>
      <c r="AG332" s="33" t="s">
        <v>13</v>
      </c>
      <c r="AM332" s="37">
        <f t="shared" si="55"/>
        <v>0</v>
      </c>
      <c r="AN332" s="37">
        <f t="shared" si="56"/>
        <v>0</v>
      </c>
      <c r="AO332" s="38" t="s">
        <v>899</v>
      </c>
      <c r="AP332" s="38" t="s">
        <v>922</v>
      </c>
      <c r="AQ332" s="29" t="s">
        <v>926</v>
      </c>
      <c r="AS332" s="37">
        <f t="shared" si="57"/>
        <v>0</v>
      </c>
      <c r="AT332" s="37">
        <f t="shared" si="58"/>
        <v>0</v>
      </c>
      <c r="AU332" s="37">
        <v>0</v>
      </c>
      <c r="AV332" s="37">
        <f t="shared" si="59"/>
        <v>0.068</v>
      </c>
    </row>
    <row r="333" spans="1:48" ht="12.75">
      <c r="A333" s="4" t="s">
        <v>158</v>
      </c>
      <c r="B333" s="4"/>
      <c r="C333" s="4" t="s">
        <v>373</v>
      </c>
      <c r="D333" s="4" t="s">
        <v>735</v>
      </c>
      <c r="E333" s="4" t="s">
        <v>839</v>
      </c>
      <c r="F333" s="19">
        <v>5</v>
      </c>
      <c r="G333" s="19">
        <v>0</v>
      </c>
      <c r="H333" s="19">
        <f t="shared" si="40"/>
        <v>0</v>
      </c>
      <c r="I333" s="19">
        <f t="shared" si="41"/>
        <v>0</v>
      </c>
      <c r="J333" s="19">
        <f t="shared" si="42"/>
        <v>0</v>
      </c>
      <c r="K333" s="19">
        <v>1E-05</v>
      </c>
      <c r="L333" s="19">
        <f t="shared" si="43"/>
        <v>5E-05</v>
      </c>
      <c r="M333" s="32" t="s">
        <v>863</v>
      </c>
      <c r="P333" s="37">
        <f t="shared" si="44"/>
        <v>0</v>
      </c>
      <c r="R333" s="37">
        <f t="shared" si="45"/>
        <v>0</v>
      </c>
      <c r="S333" s="37">
        <f t="shared" si="46"/>
        <v>0</v>
      </c>
      <c r="T333" s="37">
        <f t="shared" si="47"/>
        <v>0</v>
      </c>
      <c r="U333" s="37">
        <f t="shared" si="48"/>
        <v>0</v>
      </c>
      <c r="V333" s="37">
        <f t="shared" si="49"/>
        <v>0</v>
      </c>
      <c r="W333" s="37">
        <f t="shared" si="50"/>
        <v>0</v>
      </c>
      <c r="X333" s="37">
        <f t="shared" si="51"/>
        <v>0</v>
      </c>
      <c r="Y333" s="29"/>
      <c r="Z333" s="19">
        <f t="shared" si="52"/>
        <v>0</v>
      </c>
      <c r="AA333" s="19">
        <f t="shared" si="53"/>
        <v>0</v>
      </c>
      <c r="AB333" s="19">
        <f t="shared" si="54"/>
        <v>0</v>
      </c>
      <c r="AD333" s="37">
        <v>21</v>
      </c>
      <c r="AE333" s="37">
        <f>G333*0.016655737704918</f>
        <v>0</v>
      </c>
      <c r="AF333" s="37">
        <f>G333*(1-0.016655737704918)</f>
        <v>0</v>
      </c>
      <c r="AG333" s="32" t="s">
        <v>13</v>
      </c>
      <c r="AM333" s="37">
        <f t="shared" si="55"/>
        <v>0</v>
      </c>
      <c r="AN333" s="37">
        <f t="shared" si="56"/>
        <v>0</v>
      </c>
      <c r="AO333" s="38" t="s">
        <v>899</v>
      </c>
      <c r="AP333" s="38" t="s">
        <v>922</v>
      </c>
      <c r="AQ333" s="29" t="s">
        <v>926</v>
      </c>
      <c r="AS333" s="37">
        <f t="shared" si="57"/>
        <v>0</v>
      </c>
      <c r="AT333" s="37">
        <f t="shared" si="58"/>
        <v>0</v>
      </c>
      <c r="AU333" s="37">
        <v>0</v>
      </c>
      <c r="AV333" s="37">
        <f t="shared" si="59"/>
        <v>5E-05</v>
      </c>
    </row>
    <row r="334" spans="1:48" ht="12.75">
      <c r="A334" s="6" t="s">
        <v>159</v>
      </c>
      <c r="B334" s="6"/>
      <c r="C334" s="6" t="s">
        <v>374</v>
      </c>
      <c r="D334" s="6" t="s">
        <v>736</v>
      </c>
      <c r="E334" s="6" t="s">
        <v>837</v>
      </c>
      <c r="F334" s="21">
        <v>4.6</v>
      </c>
      <c r="G334" s="21">
        <v>0</v>
      </c>
      <c r="H334" s="21">
        <f t="shared" si="40"/>
        <v>0</v>
      </c>
      <c r="I334" s="21">
        <f t="shared" si="41"/>
        <v>0</v>
      </c>
      <c r="J334" s="21">
        <f t="shared" si="42"/>
        <v>0</v>
      </c>
      <c r="K334" s="21">
        <v>0.00325</v>
      </c>
      <c r="L334" s="21">
        <f t="shared" si="43"/>
        <v>0.014949999999999998</v>
      </c>
      <c r="M334" s="33" t="s">
        <v>863</v>
      </c>
      <c r="P334" s="37">
        <f t="shared" si="44"/>
        <v>0</v>
      </c>
      <c r="R334" s="37">
        <f t="shared" si="45"/>
        <v>0</v>
      </c>
      <c r="S334" s="37">
        <f t="shared" si="46"/>
        <v>0</v>
      </c>
      <c r="T334" s="37">
        <f t="shared" si="47"/>
        <v>0</v>
      </c>
      <c r="U334" s="37">
        <f t="shared" si="48"/>
        <v>0</v>
      </c>
      <c r="V334" s="37">
        <f t="shared" si="49"/>
        <v>0</v>
      </c>
      <c r="W334" s="37">
        <f t="shared" si="50"/>
        <v>0</v>
      </c>
      <c r="X334" s="37">
        <f t="shared" si="51"/>
        <v>0</v>
      </c>
      <c r="Y334" s="29"/>
      <c r="Z334" s="21">
        <f t="shared" si="52"/>
        <v>0</v>
      </c>
      <c r="AA334" s="21">
        <f t="shared" si="53"/>
        <v>0</v>
      </c>
      <c r="AB334" s="21">
        <f t="shared" si="54"/>
        <v>0</v>
      </c>
      <c r="AD334" s="37">
        <v>21</v>
      </c>
      <c r="AE334" s="37">
        <f>G334*1</f>
        <v>0</v>
      </c>
      <c r="AF334" s="37">
        <f>G334*(1-1)</f>
        <v>0</v>
      </c>
      <c r="AG334" s="33" t="s">
        <v>13</v>
      </c>
      <c r="AM334" s="37">
        <f t="shared" si="55"/>
        <v>0</v>
      </c>
      <c r="AN334" s="37">
        <f t="shared" si="56"/>
        <v>0</v>
      </c>
      <c r="AO334" s="38" t="s">
        <v>899</v>
      </c>
      <c r="AP334" s="38" t="s">
        <v>922</v>
      </c>
      <c r="AQ334" s="29" t="s">
        <v>926</v>
      </c>
      <c r="AS334" s="37">
        <f t="shared" si="57"/>
        <v>0</v>
      </c>
      <c r="AT334" s="37">
        <f t="shared" si="58"/>
        <v>0</v>
      </c>
      <c r="AU334" s="37">
        <v>0</v>
      </c>
      <c r="AV334" s="37">
        <f t="shared" si="59"/>
        <v>0.014949999999999998</v>
      </c>
    </row>
    <row r="335" spans="4:6" ht="12.75">
      <c r="D335" s="15" t="s">
        <v>737</v>
      </c>
      <c r="F335" s="20">
        <v>4.6</v>
      </c>
    </row>
    <row r="336" spans="1:48" ht="12.75">
      <c r="A336" s="6" t="s">
        <v>160</v>
      </c>
      <c r="B336" s="6"/>
      <c r="C336" s="6" t="s">
        <v>375</v>
      </c>
      <c r="D336" s="6" t="s">
        <v>738</v>
      </c>
      <c r="E336" s="6" t="s">
        <v>839</v>
      </c>
      <c r="F336" s="21">
        <v>1</v>
      </c>
      <c r="G336" s="21">
        <v>0</v>
      </c>
      <c r="H336" s="21">
        <f aca="true" t="shared" si="60" ref="H336:H341">F336*AE336</f>
        <v>0</v>
      </c>
      <c r="I336" s="21">
        <f aca="true" t="shared" si="61" ref="I336:I341">J336-H336</f>
        <v>0</v>
      </c>
      <c r="J336" s="21">
        <f aca="true" t="shared" si="62" ref="J336:J341">F336*G336</f>
        <v>0</v>
      </c>
      <c r="K336" s="21">
        <v>2E-05</v>
      </c>
      <c r="L336" s="21">
        <f aca="true" t="shared" si="63" ref="L336:L341">F336*K336</f>
        <v>2E-05</v>
      </c>
      <c r="M336" s="33" t="s">
        <v>863</v>
      </c>
      <c r="P336" s="37">
        <f aca="true" t="shared" si="64" ref="P336:P341">IF(AG336="5",J336,0)</f>
        <v>0</v>
      </c>
      <c r="R336" s="37">
        <f aca="true" t="shared" si="65" ref="R336:R341">IF(AG336="1",H336,0)</f>
        <v>0</v>
      </c>
      <c r="S336" s="37">
        <f aca="true" t="shared" si="66" ref="S336:S341">IF(AG336="1",I336,0)</f>
        <v>0</v>
      </c>
      <c r="T336" s="37">
        <f aca="true" t="shared" si="67" ref="T336:T341">IF(AG336="7",H336,0)</f>
        <v>0</v>
      </c>
      <c r="U336" s="37">
        <f aca="true" t="shared" si="68" ref="U336:U341">IF(AG336="7",I336,0)</f>
        <v>0</v>
      </c>
      <c r="V336" s="37">
        <f aca="true" t="shared" si="69" ref="V336:V341">IF(AG336="2",H336,0)</f>
        <v>0</v>
      </c>
      <c r="W336" s="37">
        <f aca="true" t="shared" si="70" ref="W336:W341">IF(AG336="2",I336,0)</f>
        <v>0</v>
      </c>
      <c r="X336" s="37">
        <f aca="true" t="shared" si="71" ref="X336:X341">IF(AG336="0",J336,0)</f>
        <v>0</v>
      </c>
      <c r="Y336" s="29"/>
      <c r="Z336" s="21">
        <f aca="true" t="shared" si="72" ref="Z336:Z341">IF(AD336=0,J336,0)</f>
        <v>0</v>
      </c>
      <c r="AA336" s="21">
        <f aca="true" t="shared" si="73" ref="AA336:AA341">IF(AD336=15,J336,0)</f>
        <v>0</v>
      </c>
      <c r="AB336" s="21">
        <f aca="true" t="shared" si="74" ref="AB336:AB341">IF(AD336=21,J336,0)</f>
        <v>0</v>
      </c>
      <c r="AD336" s="37">
        <v>21</v>
      </c>
      <c r="AE336" s="37">
        <f>G336*1</f>
        <v>0</v>
      </c>
      <c r="AF336" s="37">
        <f>G336*(1-1)</f>
        <v>0</v>
      </c>
      <c r="AG336" s="33" t="s">
        <v>13</v>
      </c>
      <c r="AM336" s="37">
        <f aca="true" t="shared" si="75" ref="AM336:AM341">F336*AE336</f>
        <v>0</v>
      </c>
      <c r="AN336" s="37">
        <f aca="true" t="shared" si="76" ref="AN336:AN341">F336*AF336</f>
        <v>0</v>
      </c>
      <c r="AO336" s="38" t="s">
        <v>899</v>
      </c>
      <c r="AP336" s="38" t="s">
        <v>922</v>
      </c>
      <c r="AQ336" s="29" t="s">
        <v>926</v>
      </c>
      <c r="AS336" s="37">
        <f aca="true" t="shared" si="77" ref="AS336:AS341">AM336+AN336</f>
        <v>0</v>
      </c>
      <c r="AT336" s="37">
        <f aca="true" t="shared" si="78" ref="AT336:AT341">G336/(100-AU336)*100</f>
        <v>0</v>
      </c>
      <c r="AU336" s="37">
        <v>0</v>
      </c>
      <c r="AV336" s="37">
        <f aca="true" t="shared" si="79" ref="AV336:AV341">L336</f>
        <v>2E-05</v>
      </c>
    </row>
    <row r="337" spans="1:48" ht="12.75">
      <c r="A337" s="4" t="s">
        <v>161</v>
      </c>
      <c r="B337" s="4"/>
      <c r="C337" s="4" t="s">
        <v>376</v>
      </c>
      <c r="D337" s="4" t="s">
        <v>739</v>
      </c>
      <c r="E337" s="4" t="s">
        <v>839</v>
      </c>
      <c r="F337" s="19">
        <v>1</v>
      </c>
      <c r="G337" s="19">
        <v>0</v>
      </c>
      <c r="H337" s="19">
        <f t="shared" si="60"/>
        <v>0</v>
      </c>
      <c r="I337" s="19">
        <f t="shared" si="61"/>
        <v>0</v>
      </c>
      <c r="J337" s="19">
        <f t="shared" si="62"/>
        <v>0</v>
      </c>
      <c r="K337" s="19">
        <v>0</v>
      </c>
      <c r="L337" s="19">
        <f t="shared" si="63"/>
        <v>0</v>
      </c>
      <c r="M337" s="32" t="s">
        <v>863</v>
      </c>
      <c r="P337" s="37">
        <f t="shared" si="64"/>
        <v>0</v>
      </c>
      <c r="R337" s="37">
        <f t="shared" si="65"/>
        <v>0</v>
      </c>
      <c r="S337" s="37">
        <f t="shared" si="66"/>
        <v>0</v>
      </c>
      <c r="T337" s="37">
        <f t="shared" si="67"/>
        <v>0</v>
      </c>
      <c r="U337" s="37">
        <f t="shared" si="68"/>
        <v>0</v>
      </c>
      <c r="V337" s="37">
        <f t="shared" si="69"/>
        <v>0</v>
      </c>
      <c r="W337" s="37">
        <f t="shared" si="70"/>
        <v>0</v>
      </c>
      <c r="X337" s="37">
        <f t="shared" si="71"/>
        <v>0</v>
      </c>
      <c r="Y337" s="29"/>
      <c r="Z337" s="19">
        <f t="shared" si="72"/>
        <v>0</v>
      </c>
      <c r="AA337" s="19">
        <f t="shared" si="73"/>
        <v>0</v>
      </c>
      <c r="AB337" s="19">
        <f t="shared" si="74"/>
        <v>0</v>
      </c>
      <c r="AD337" s="37">
        <v>21</v>
      </c>
      <c r="AE337" s="37">
        <f>G337*0</f>
        <v>0</v>
      </c>
      <c r="AF337" s="37">
        <f>G337*(1-0)</f>
        <v>0</v>
      </c>
      <c r="AG337" s="32" t="s">
        <v>13</v>
      </c>
      <c r="AM337" s="37">
        <f t="shared" si="75"/>
        <v>0</v>
      </c>
      <c r="AN337" s="37">
        <f t="shared" si="76"/>
        <v>0</v>
      </c>
      <c r="AO337" s="38" t="s">
        <v>899</v>
      </c>
      <c r="AP337" s="38" t="s">
        <v>922</v>
      </c>
      <c r="AQ337" s="29" t="s">
        <v>926</v>
      </c>
      <c r="AS337" s="37">
        <f t="shared" si="77"/>
        <v>0</v>
      </c>
      <c r="AT337" s="37">
        <f t="shared" si="78"/>
        <v>0</v>
      </c>
      <c r="AU337" s="37">
        <v>0</v>
      </c>
      <c r="AV337" s="37">
        <f t="shared" si="79"/>
        <v>0</v>
      </c>
    </row>
    <row r="338" spans="1:48" ht="12.75">
      <c r="A338" s="6" t="s">
        <v>162</v>
      </c>
      <c r="B338" s="6"/>
      <c r="C338" s="6" t="s">
        <v>377</v>
      </c>
      <c r="D338" s="6" t="s">
        <v>740</v>
      </c>
      <c r="E338" s="6" t="s">
        <v>839</v>
      </c>
      <c r="F338" s="21">
        <v>1</v>
      </c>
      <c r="G338" s="21">
        <v>0</v>
      </c>
      <c r="H338" s="21">
        <f t="shared" si="60"/>
        <v>0</v>
      </c>
      <c r="I338" s="21">
        <f t="shared" si="61"/>
        <v>0</v>
      </c>
      <c r="J338" s="21">
        <f t="shared" si="62"/>
        <v>0</v>
      </c>
      <c r="K338" s="21">
        <v>0.055</v>
      </c>
      <c r="L338" s="21">
        <f t="shared" si="63"/>
        <v>0.055</v>
      </c>
      <c r="M338" s="33" t="s">
        <v>863</v>
      </c>
      <c r="P338" s="37">
        <f t="shared" si="64"/>
        <v>0</v>
      </c>
      <c r="R338" s="37">
        <f t="shared" si="65"/>
        <v>0</v>
      </c>
      <c r="S338" s="37">
        <f t="shared" si="66"/>
        <v>0</v>
      </c>
      <c r="T338" s="37">
        <f t="shared" si="67"/>
        <v>0</v>
      </c>
      <c r="U338" s="37">
        <f t="shared" si="68"/>
        <v>0</v>
      </c>
      <c r="V338" s="37">
        <f t="shared" si="69"/>
        <v>0</v>
      </c>
      <c r="W338" s="37">
        <f t="shared" si="70"/>
        <v>0</v>
      </c>
      <c r="X338" s="37">
        <f t="shared" si="71"/>
        <v>0</v>
      </c>
      <c r="Y338" s="29"/>
      <c r="Z338" s="21">
        <f t="shared" si="72"/>
        <v>0</v>
      </c>
      <c r="AA338" s="21">
        <f t="shared" si="73"/>
        <v>0</v>
      </c>
      <c r="AB338" s="21">
        <f t="shared" si="74"/>
        <v>0</v>
      </c>
      <c r="AD338" s="37">
        <v>21</v>
      </c>
      <c r="AE338" s="37">
        <f>G338*1</f>
        <v>0</v>
      </c>
      <c r="AF338" s="37">
        <f>G338*(1-1)</f>
        <v>0</v>
      </c>
      <c r="AG338" s="33" t="s">
        <v>13</v>
      </c>
      <c r="AM338" s="37">
        <f t="shared" si="75"/>
        <v>0</v>
      </c>
      <c r="AN338" s="37">
        <f t="shared" si="76"/>
        <v>0</v>
      </c>
      <c r="AO338" s="38" t="s">
        <v>899</v>
      </c>
      <c r="AP338" s="38" t="s">
        <v>922</v>
      </c>
      <c r="AQ338" s="29" t="s">
        <v>926</v>
      </c>
      <c r="AS338" s="37">
        <f t="shared" si="77"/>
        <v>0</v>
      </c>
      <c r="AT338" s="37">
        <f t="shared" si="78"/>
        <v>0</v>
      </c>
      <c r="AU338" s="37">
        <v>0</v>
      </c>
      <c r="AV338" s="37">
        <f t="shared" si="79"/>
        <v>0.055</v>
      </c>
    </row>
    <row r="339" spans="1:48" ht="12.75">
      <c r="A339" s="4" t="s">
        <v>163</v>
      </c>
      <c r="B339" s="4"/>
      <c r="C339" s="4" t="s">
        <v>378</v>
      </c>
      <c r="D339" s="4" t="s">
        <v>741</v>
      </c>
      <c r="E339" s="4" t="s">
        <v>839</v>
      </c>
      <c r="F339" s="19">
        <v>1</v>
      </c>
      <c r="G339" s="19">
        <v>0</v>
      </c>
      <c r="H339" s="19">
        <f t="shared" si="60"/>
        <v>0</v>
      </c>
      <c r="I339" s="19">
        <f t="shared" si="61"/>
        <v>0</v>
      </c>
      <c r="J339" s="19">
        <f t="shared" si="62"/>
        <v>0</v>
      </c>
      <c r="K339" s="19">
        <v>0</v>
      </c>
      <c r="L339" s="19">
        <f t="shared" si="63"/>
        <v>0</v>
      </c>
      <c r="M339" s="32" t="s">
        <v>863</v>
      </c>
      <c r="P339" s="37">
        <f t="shared" si="64"/>
        <v>0</v>
      </c>
      <c r="R339" s="37">
        <f t="shared" si="65"/>
        <v>0</v>
      </c>
      <c r="S339" s="37">
        <f t="shared" si="66"/>
        <v>0</v>
      </c>
      <c r="T339" s="37">
        <f t="shared" si="67"/>
        <v>0</v>
      </c>
      <c r="U339" s="37">
        <f t="shared" si="68"/>
        <v>0</v>
      </c>
      <c r="V339" s="37">
        <f t="shared" si="69"/>
        <v>0</v>
      </c>
      <c r="W339" s="37">
        <f t="shared" si="70"/>
        <v>0</v>
      </c>
      <c r="X339" s="37">
        <f t="shared" si="71"/>
        <v>0</v>
      </c>
      <c r="Y339" s="29"/>
      <c r="Z339" s="19">
        <f t="shared" si="72"/>
        <v>0</v>
      </c>
      <c r="AA339" s="19">
        <f t="shared" si="73"/>
        <v>0</v>
      </c>
      <c r="AB339" s="19">
        <f t="shared" si="74"/>
        <v>0</v>
      </c>
      <c r="AD339" s="37">
        <v>21</v>
      </c>
      <c r="AE339" s="37">
        <f>G339*0</f>
        <v>0</v>
      </c>
      <c r="AF339" s="37">
        <f>G339*(1-0)</f>
        <v>0</v>
      </c>
      <c r="AG339" s="32" t="s">
        <v>13</v>
      </c>
      <c r="AM339" s="37">
        <f t="shared" si="75"/>
        <v>0</v>
      </c>
      <c r="AN339" s="37">
        <f t="shared" si="76"/>
        <v>0</v>
      </c>
      <c r="AO339" s="38" t="s">
        <v>899</v>
      </c>
      <c r="AP339" s="38" t="s">
        <v>922</v>
      </c>
      <c r="AQ339" s="29" t="s">
        <v>926</v>
      </c>
      <c r="AS339" s="37">
        <f t="shared" si="77"/>
        <v>0</v>
      </c>
      <c r="AT339" s="37">
        <f t="shared" si="78"/>
        <v>0</v>
      </c>
      <c r="AU339" s="37">
        <v>0</v>
      </c>
      <c r="AV339" s="37">
        <f t="shared" si="79"/>
        <v>0</v>
      </c>
    </row>
    <row r="340" spans="1:48" ht="12.75">
      <c r="A340" s="6" t="s">
        <v>164</v>
      </c>
      <c r="B340" s="6"/>
      <c r="C340" s="6" t="s">
        <v>379</v>
      </c>
      <c r="D340" s="6" t="s">
        <v>742</v>
      </c>
      <c r="E340" s="6" t="s">
        <v>839</v>
      </c>
      <c r="F340" s="21">
        <v>1</v>
      </c>
      <c r="G340" s="21">
        <v>0</v>
      </c>
      <c r="H340" s="21">
        <f t="shared" si="60"/>
        <v>0</v>
      </c>
      <c r="I340" s="21">
        <f t="shared" si="61"/>
        <v>0</v>
      </c>
      <c r="J340" s="21">
        <f t="shared" si="62"/>
        <v>0</v>
      </c>
      <c r="K340" s="21">
        <v>0.00075</v>
      </c>
      <c r="L340" s="21">
        <f t="shared" si="63"/>
        <v>0.00075</v>
      </c>
      <c r="M340" s="33" t="s">
        <v>863</v>
      </c>
      <c r="P340" s="37">
        <f t="shared" si="64"/>
        <v>0</v>
      </c>
      <c r="R340" s="37">
        <f t="shared" si="65"/>
        <v>0</v>
      </c>
      <c r="S340" s="37">
        <f t="shared" si="66"/>
        <v>0</v>
      </c>
      <c r="T340" s="37">
        <f t="shared" si="67"/>
        <v>0</v>
      </c>
      <c r="U340" s="37">
        <f t="shared" si="68"/>
        <v>0</v>
      </c>
      <c r="V340" s="37">
        <f t="shared" si="69"/>
        <v>0</v>
      </c>
      <c r="W340" s="37">
        <f t="shared" si="70"/>
        <v>0</v>
      </c>
      <c r="X340" s="37">
        <f t="shared" si="71"/>
        <v>0</v>
      </c>
      <c r="Y340" s="29"/>
      <c r="Z340" s="21">
        <f t="shared" si="72"/>
        <v>0</v>
      </c>
      <c r="AA340" s="21">
        <f t="shared" si="73"/>
        <v>0</v>
      </c>
      <c r="AB340" s="21">
        <f t="shared" si="74"/>
        <v>0</v>
      </c>
      <c r="AD340" s="37">
        <v>21</v>
      </c>
      <c r="AE340" s="37">
        <f>G340*1</f>
        <v>0</v>
      </c>
      <c r="AF340" s="37">
        <f>G340*(1-1)</f>
        <v>0</v>
      </c>
      <c r="AG340" s="33" t="s">
        <v>13</v>
      </c>
      <c r="AM340" s="37">
        <f t="shared" si="75"/>
        <v>0</v>
      </c>
      <c r="AN340" s="37">
        <f t="shared" si="76"/>
        <v>0</v>
      </c>
      <c r="AO340" s="38" t="s">
        <v>899</v>
      </c>
      <c r="AP340" s="38" t="s">
        <v>922</v>
      </c>
      <c r="AQ340" s="29" t="s">
        <v>926</v>
      </c>
      <c r="AS340" s="37">
        <f t="shared" si="77"/>
        <v>0</v>
      </c>
      <c r="AT340" s="37">
        <f t="shared" si="78"/>
        <v>0</v>
      </c>
      <c r="AU340" s="37">
        <v>0</v>
      </c>
      <c r="AV340" s="37">
        <f t="shared" si="79"/>
        <v>0.00075</v>
      </c>
    </row>
    <row r="341" spans="1:48" ht="12.75">
      <c r="A341" s="4" t="s">
        <v>165</v>
      </c>
      <c r="B341" s="4"/>
      <c r="C341" s="4" t="s">
        <v>380</v>
      </c>
      <c r="D341" s="4" t="s">
        <v>743</v>
      </c>
      <c r="E341" s="4" t="s">
        <v>840</v>
      </c>
      <c r="F341" s="19">
        <v>0.27</v>
      </c>
      <c r="G341" s="19">
        <v>0</v>
      </c>
      <c r="H341" s="19">
        <f t="shared" si="60"/>
        <v>0</v>
      </c>
      <c r="I341" s="19">
        <f t="shared" si="61"/>
        <v>0</v>
      </c>
      <c r="J341" s="19">
        <f t="shared" si="62"/>
        <v>0</v>
      </c>
      <c r="K341" s="19">
        <v>0</v>
      </c>
      <c r="L341" s="19">
        <f t="shared" si="63"/>
        <v>0</v>
      </c>
      <c r="M341" s="32" t="s">
        <v>863</v>
      </c>
      <c r="P341" s="37">
        <f t="shared" si="64"/>
        <v>0</v>
      </c>
      <c r="R341" s="37">
        <f t="shared" si="65"/>
        <v>0</v>
      </c>
      <c r="S341" s="37">
        <f t="shared" si="66"/>
        <v>0</v>
      </c>
      <c r="T341" s="37">
        <f t="shared" si="67"/>
        <v>0</v>
      </c>
      <c r="U341" s="37">
        <f t="shared" si="68"/>
        <v>0</v>
      </c>
      <c r="V341" s="37">
        <f t="shared" si="69"/>
        <v>0</v>
      </c>
      <c r="W341" s="37">
        <f t="shared" si="70"/>
        <v>0</v>
      </c>
      <c r="X341" s="37">
        <f t="shared" si="71"/>
        <v>0</v>
      </c>
      <c r="Y341" s="29"/>
      <c r="Z341" s="19">
        <f t="shared" si="72"/>
        <v>0</v>
      </c>
      <c r="AA341" s="19">
        <f t="shared" si="73"/>
        <v>0</v>
      </c>
      <c r="AB341" s="19">
        <f t="shared" si="74"/>
        <v>0</v>
      </c>
      <c r="AD341" s="37">
        <v>21</v>
      </c>
      <c r="AE341" s="37">
        <f>G341*0</f>
        <v>0</v>
      </c>
      <c r="AF341" s="37">
        <f>G341*(1-0)</f>
        <v>0</v>
      </c>
      <c r="AG341" s="32" t="s">
        <v>11</v>
      </c>
      <c r="AM341" s="37">
        <f t="shared" si="75"/>
        <v>0</v>
      </c>
      <c r="AN341" s="37">
        <f t="shared" si="76"/>
        <v>0</v>
      </c>
      <c r="AO341" s="38" t="s">
        <v>899</v>
      </c>
      <c r="AP341" s="38" t="s">
        <v>922</v>
      </c>
      <c r="AQ341" s="29" t="s">
        <v>926</v>
      </c>
      <c r="AS341" s="37">
        <f t="shared" si="77"/>
        <v>0</v>
      </c>
      <c r="AT341" s="37">
        <f t="shared" si="78"/>
        <v>0</v>
      </c>
      <c r="AU341" s="37">
        <v>0</v>
      </c>
      <c r="AV341" s="37">
        <f t="shared" si="79"/>
        <v>0</v>
      </c>
    </row>
    <row r="342" spans="1:37" ht="12.75">
      <c r="A342" s="5"/>
      <c r="B342" s="13"/>
      <c r="C342" s="13" t="s">
        <v>381</v>
      </c>
      <c r="D342" s="13" t="s">
        <v>744</v>
      </c>
      <c r="E342" s="5" t="s">
        <v>6</v>
      </c>
      <c r="F342" s="5" t="s">
        <v>6</v>
      </c>
      <c r="G342" s="5" t="s">
        <v>6</v>
      </c>
      <c r="H342" s="40">
        <f>SUM(H343:H368)</f>
        <v>0</v>
      </c>
      <c r="I342" s="40">
        <f>SUM(I343:I368)</f>
        <v>0</v>
      </c>
      <c r="J342" s="40">
        <f>H342+I342</f>
        <v>0</v>
      </c>
      <c r="K342" s="29"/>
      <c r="L342" s="40">
        <f>SUM(L343:L368)</f>
        <v>0.6578550000000002</v>
      </c>
      <c r="M342" s="29"/>
      <c r="Y342" s="29"/>
      <c r="AI342" s="40">
        <f>SUM(Z343:Z368)</f>
        <v>0</v>
      </c>
      <c r="AJ342" s="40">
        <f>SUM(AA343:AA368)</f>
        <v>0</v>
      </c>
      <c r="AK342" s="40">
        <f>SUM(AB343:AB368)</f>
        <v>0</v>
      </c>
    </row>
    <row r="343" spans="1:48" ht="12.75">
      <c r="A343" s="4" t="s">
        <v>166</v>
      </c>
      <c r="B343" s="4"/>
      <c r="C343" s="4" t="s">
        <v>382</v>
      </c>
      <c r="D343" s="4" t="s">
        <v>745</v>
      </c>
      <c r="E343" s="4" t="s">
        <v>837</v>
      </c>
      <c r="F343" s="19">
        <v>1.7</v>
      </c>
      <c r="G343" s="19">
        <v>0</v>
      </c>
      <c r="H343" s="19">
        <f>F343*AE343</f>
        <v>0</v>
      </c>
      <c r="I343" s="19">
        <f>J343-H343</f>
        <v>0</v>
      </c>
      <c r="J343" s="19">
        <f>F343*G343</f>
        <v>0</v>
      </c>
      <c r="K343" s="19">
        <v>6E-05</v>
      </c>
      <c r="L343" s="19">
        <f>F343*K343</f>
        <v>0.000102</v>
      </c>
      <c r="M343" s="32" t="s">
        <v>863</v>
      </c>
      <c r="P343" s="37">
        <f>IF(AG343="5",J343,0)</f>
        <v>0</v>
      </c>
      <c r="R343" s="37">
        <f>IF(AG343="1",H343,0)</f>
        <v>0</v>
      </c>
      <c r="S343" s="37">
        <f>IF(AG343="1",I343,0)</f>
        <v>0</v>
      </c>
      <c r="T343" s="37">
        <f>IF(AG343="7",H343,0)</f>
        <v>0</v>
      </c>
      <c r="U343" s="37">
        <f>IF(AG343="7",I343,0)</f>
        <v>0</v>
      </c>
      <c r="V343" s="37">
        <f>IF(AG343="2",H343,0)</f>
        <v>0</v>
      </c>
      <c r="W343" s="37">
        <f>IF(AG343="2",I343,0)</f>
        <v>0</v>
      </c>
      <c r="X343" s="37">
        <f>IF(AG343="0",J343,0)</f>
        <v>0</v>
      </c>
      <c r="Y343" s="29"/>
      <c r="Z343" s="19">
        <f>IF(AD343=0,J343,0)</f>
        <v>0</v>
      </c>
      <c r="AA343" s="19">
        <f>IF(AD343=15,J343,0)</f>
        <v>0</v>
      </c>
      <c r="AB343" s="19">
        <f>IF(AD343=21,J343,0)</f>
        <v>0</v>
      </c>
      <c r="AD343" s="37">
        <v>21</v>
      </c>
      <c r="AE343" s="37">
        <f>G343*0.0738461538461538</f>
        <v>0</v>
      </c>
      <c r="AF343" s="37">
        <f>G343*(1-0.0738461538461538)</f>
        <v>0</v>
      </c>
      <c r="AG343" s="32" t="s">
        <v>13</v>
      </c>
      <c r="AM343" s="37">
        <f>F343*AE343</f>
        <v>0</v>
      </c>
      <c r="AN343" s="37">
        <f>F343*AF343</f>
        <v>0</v>
      </c>
      <c r="AO343" s="38" t="s">
        <v>900</v>
      </c>
      <c r="AP343" s="38" t="s">
        <v>922</v>
      </c>
      <c r="AQ343" s="29" t="s">
        <v>926</v>
      </c>
      <c r="AS343" s="37">
        <f>AM343+AN343</f>
        <v>0</v>
      </c>
      <c r="AT343" s="37">
        <f>G343/(100-AU343)*100</f>
        <v>0</v>
      </c>
      <c r="AU343" s="37">
        <v>0</v>
      </c>
      <c r="AV343" s="37">
        <f>L343</f>
        <v>0.000102</v>
      </c>
    </row>
    <row r="344" spans="4:6" ht="12.75">
      <c r="D344" s="15" t="s">
        <v>746</v>
      </c>
      <c r="F344" s="20">
        <v>1.7</v>
      </c>
    </row>
    <row r="345" spans="1:48" ht="12.75">
      <c r="A345" s="6" t="s">
        <v>167</v>
      </c>
      <c r="B345" s="6"/>
      <c r="C345" s="6" t="s">
        <v>383</v>
      </c>
      <c r="D345" s="6" t="s">
        <v>747</v>
      </c>
      <c r="E345" s="6" t="s">
        <v>842</v>
      </c>
      <c r="F345" s="21">
        <v>30</v>
      </c>
      <c r="G345" s="21">
        <v>0</v>
      </c>
      <c r="H345" s="21">
        <f>F345*AE345</f>
        <v>0</v>
      </c>
      <c r="I345" s="21">
        <f>J345-H345</f>
        <v>0</v>
      </c>
      <c r="J345" s="21">
        <f>F345*G345</f>
        <v>0</v>
      </c>
      <c r="K345" s="21">
        <v>0.001</v>
      </c>
      <c r="L345" s="21">
        <f>F345*K345</f>
        <v>0.03</v>
      </c>
      <c r="M345" s="33" t="s">
        <v>863</v>
      </c>
      <c r="P345" s="37">
        <f>IF(AG345="5",J345,0)</f>
        <v>0</v>
      </c>
      <c r="R345" s="37">
        <f>IF(AG345="1",H345,0)</f>
        <v>0</v>
      </c>
      <c r="S345" s="37">
        <f>IF(AG345="1",I345,0)</f>
        <v>0</v>
      </c>
      <c r="T345" s="37">
        <f>IF(AG345="7",H345,0)</f>
        <v>0</v>
      </c>
      <c r="U345" s="37">
        <f>IF(AG345="7",I345,0)</f>
        <v>0</v>
      </c>
      <c r="V345" s="37">
        <f>IF(AG345="2",H345,0)</f>
        <v>0</v>
      </c>
      <c r="W345" s="37">
        <f>IF(AG345="2",I345,0)</f>
        <v>0</v>
      </c>
      <c r="X345" s="37">
        <f>IF(AG345="0",J345,0)</f>
        <v>0</v>
      </c>
      <c r="Y345" s="29"/>
      <c r="Z345" s="21">
        <f>IF(AD345=0,J345,0)</f>
        <v>0</v>
      </c>
      <c r="AA345" s="21">
        <f>IF(AD345=15,J345,0)</f>
        <v>0</v>
      </c>
      <c r="AB345" s="21">
        <f>IF(AD345=21,J345,0)</f>
        <v>0</v>
      </c>
      <c r="AD345" s="37">
        <v>21</v>
      </c>
      <c r="AE345" s="37">
        <f>G345*1</f>
        <v>0</v>
      </c>
      <c r="AF345" s="37">
        <f>G345*(1-1)</f>
        <v>0</v>
      </c>
      <c r="AG345" s="33" t="s">
        <v>13</v>
      </c>
      <c r="AM345" s="37">
        <f>F345*AE345</f>
        <v>0</v>
      </c>
      <c r="AN345" s="37">
        <f>F345*AF345</f>
        <v>0</v>
      </c>
      <c r="AO345" s="38" t="s">
        <v>900</v>
      </c>
      <c r="AP345" s="38" t="s">
        <v>922</v>
      </c>
      <c r="AQ345" s="29" t="s">
        <v>926</v>
      </c>
      <c r="AS345" s="37">
        <f>AM345+AN345</f>
        <v>0</v>
      </c>
      <c r="AT345" s="37">
        <f>G345/(100-AU345)*100</f>
        <v>0</v>
      </c>
      <c r="AU345" s="37">
        <v>0</v>
      </c>
      <c r="AV345" s="37">
        <f>L345</f>
        <v>0.03</v>
      </c>
    </row>
    <row r="346" spans="1:48" ht="12.75">
      <c r="A346" s="4" t="s">
        <v>168</v>
      </c>
      <c r="B346" s="4"/>
      <c r="C346" s="4" t="s">
        <v>384</v>
      </c>
      <c r="D346" s="4" t="s">
        <v>748</v>
      </c>
      <c r="E346" s="4" t="s">
        <v>837</v>
      </c>
      <c r="F346" s="19">
        <v>9.15</v>
      </c>
      <c r="G346" s="19">
        <v>0</v>
      </c>
      <c r="H346" s="19">
        <f>F346*AE346</f>
        <v>0</v>
      </c>
      <c r="I346" s="19">
        <f>J346-H346</f>
        <v>0</v>
      </c>
      <c r="J346" s="19">
        <f>F346*G346</f>
        <v>0</v>
      </c>
      <c r="K346" s="19">
        <v>6E-05</v>
      </c>
      <c r="L346" s="19">
        <f>F346*K346</f>
        <v>0.000549</v>
      </c>
      <c r="M346" s="32" t="s">
        <v>863</v>
      </c>
      <c r="P346" s="37">
        <f>IF(AG346="5",J346,0)</f>
        <v>0</v>
      </c>
      <c r="R346" s="37">
        <f>IF(AG346="1",H346,0)</f>
        <v>0</v>
      </c>
      <c r="S346" s="37">
        <f>IF(AG346="1",I346,0)</f>
        <v>0</v>
      </c>
      <c r="T346" s="37">
        <f>IF(AG346="7",H346,0)</f>
        <v>0</v>
      </c>
      <c r="U346" s="37">
        <f>IF(AG346="7",I346,0)</f>
        <v>0</v>
      </c>
      <c r="V346" s="37">
        <f>IF(AG346="2",H346,0)</f>
        <v>0</v>
      </c>
      <c r="W346" s="37">
        <f>IF(AG346="2",I346,0)</f>
        <v>0</v>
      </c>
      <c r="X346" s="37">
        <f>IF(AG346="0",J346,0)</f>
        <v>0</v>
      </c>
      <c r="Y346" s="29"/>
      <c r="Z346" s="19">
        <f>IF(AD346=0,J346,0)</f>
        <v>0</v>
      </c>
      <c r="AA346" s="19">
        <f>IF(AD346=15,J346,0)</f>
        <v>0</v>
      </c>
      <c r="AB346" s="19">
        <f>IF(AD346=21,J346,0)</f>
        <v>0</v>
      </c>
      <c r="AD346" s="37">
        <v>21</v>
      </c>
      <c r="AE346" s="37">
        <f>G346*0.0503604752827187</f>
        <v>0</v>
      </c>
      <c r="AF346" s="37">
        <f>G346*(1-0.0503604752827187)</f>
        <v>0</v>
      </c>
      <c r="AG346" s="32" t="s">
        <v>13</v>
      </c>
      <c r="AM346" s="37">
        <f>F346*AE346</f>
        <v>0</v>
      </c>
      <c r="AN346" s="37">
        <f>F346*AF346</f>
        <v>0</v>
      </c>
      <c r="AO346" s="38" t="s">
        <v>900</v>
      </c>
      <c r="AP346" s="38" t="s">
        <v>922</v>
      </c>
      <c r="AQ346" s="29" t="s">
        <v>926</v>
      </c>
      <c r="AS346" s="37">
        <f>AM346+AN346</f>
        <v>0</v>
      </c>
      <c r="AT346" s="37">
        <f>G346/(100-AU346)*100</f>
        <v>0</v>
      </c>
      <c r="AU346" s="37">
        <v>0</v>
      </c>
      <c r="AV346" s="37">
        <f>L346</f>
        <v>0.000549</v>
      </c>
    </row>
    <row r="347" spans="4:6" ht="12.75">
      <c r="D347" s="15" t="s">
        <v>749</v>
      </c>
      <c r="F347" s="20">
        <v>9.15</v>
      </c>
    </row>
    <row r="348" spans="1:48" ht="12.75">
      <c r="A348" s="6" t="s">
        <v>169</v>
      </c>
      <c r="B348" s="6"/>
      <c r="C348" s="6" t="s">
        <v>383</v>
      </c>
      <c r="D348" s="6" t="s">
        <v>747</v>
      </c>
      <c r="E348" s="6" t="s">
        <v>842</v>
      </c>
      <c r="F348" s="21">
        <v>137.25</v>
      </c>
      <c r="G348" s="21">
        <v>0</v>
      </c>
      <c r="H348" s="21">
        <f>F348*AE348</f>
        <v>0</v>
      </c>
      <c r="I348" s="21">
        <f>J348-H348</f>
        <v>0</v>
      </c>
      <c r="J348" s="21">
        <f>F348*G348</f>
        <v>0</v>
      </c>
      <c r="K348" s="21">
        <v>0.001</v>
      </c>
      <c r="L348" s="21">
        <f>F348*K348</f>
        <v>0.13725</v>
      </c>
      <c r="M348" s="33" t="s">
        <v>863</v>
      </c>
      <c r="P348" s="37">
        <f>IF(AG348="5",J348,0)</f>
        <v>0</v>
      </c>
      <c r="R348" s="37">
        <f>IF(AG348="1",H348,0)</f>
        <v>0</v>
      </c>
      <c r="S348" s="37">
        <f>IF(AG348="1",I348,0)</f>
        <v>0</v>
      </c>
      <c r="T348" s="37">
        <f>IF(AG348="7",H348,0)</f>
        <v>0</v>
      </c>
      <c r="U348" s="37">
        <f>IF(AG348="7",I348,0)</f>
        <v>0</v>
      </c>
      <c r="V348" s="37">
        <f>IF(AG348="2",H348,0)</f>
        <v>0</v>
      </c>
      <c r="W348" s="37">
        <f>IF(AG348="2",I348,0)</f>
        <v>0</v>
      </c>
      <c r="X348" s="37">
        <f>IF(AG348="0",J348,0)</f>
        <v>0</v>
      </c>
      <c r="Y348" s="29"/>
      <c r="Z348" s="21">
        <f>IF(AD348=0,J348,0)</f>
        <v>0</v>
      </c>
      <c r="AA348" s="21">
        <f>IF(AD348=15,J348,0)</f>
        <v>0</v>
      </c>
      <c r="AB348" s="21">
        <f>IF(AD348=21,J348,0)</f>
        <v>0</v>
      </c>
      <c r="AD348" s="37">
        <v>21</v>
      </c>
      <c r="AE348" s="37">
        <f>G348*1</f>
        <v>0</v>
      </c>
      <c r="AF348" s="37">
        <f>G348*(1-1)</f>
        <v>0</v>
      </c>
      <c r="AG348" s="33" t="s">
        <v>13</v>
      </c>
      <c r="AM348" s="37">
        <f>F348*AE348</f>
        <v>0</v>
      </c>
      <c r="AN348" s="37">
        <f>F348*AF348</f>
        <v>0</v>
      </c>
      <c r="AO348" s="38" t="s">
        <v>900</v>
      </c>
      <c r="AP348" s="38" t="s">
        <v>922</v>
      </c>
      <c r="AQ348" s="29" t="s">
        <v>926</v>
      </c>
      <c r="AS348" s="37">
        <f>AM348+AN348</f>
        <v>0</v>
      </c>
      <c r="AT348" s="37">
        <f>G348/(100-AU348)*100</f>
        <v>0</v>
      </c>
      <c r="AU348" s="37">
        <v>0</v>
      </c>
      <c r="AV348" s="37">
        <f>L348</f>
        <v>0.13725</v>
      </c>
    </row>
    <row r="349" spans="4:6" ht="12.75">
      <c r="D349" s="15" t="s">
        <v>750</v>
      </c>
      <c r="F349" s="20">
        <v>137.25</v>
      </c>
    </row>
    <row r="350" spans="1:48" ht="12.75">
      <c r="A350" s="6" t="s">
        <v>170</v>
      </c>
      <c r="B350" s="6"/>
      <c r="C350" s="6" t="s">
        <v>265</v>
      </c>
      <c r="D350" s="6" t="s">
        <v>551</v>
      </c>
      <c r="E350" s="6" t="s">
        <v>842</v>
      </c>
      <c r="F350" s="21">
        <v>137.25</v>
      </c>
      <c r="G350" s="21">
        <v>0</v>
      </c>
      <c r="H350" s="21">
        <f>F350*AE350</f>
        <v>0</v>
      </c>
      <c r="I350" s="21">
        <f>J350-H350</f>
        <v>0</v>
      </c>
      <c r="J350" s="21">
        <f>F350*G350</f>
        <v>0</v>
      </c>
      <c r="K350" s="21">
        <v>0.001</v>
      </c>
      <c r="L350" s="21">
        <f>F350*K350</f>
        <v>0.13725</v>
      </c>
      <c r="M350" s="33" t="s">
        <v>863</v>
      </c>
      <c r="P350" s="37">
        <f>IF(AG350="5",J350,0)</f>
        <v>0</v>
      </c>
      <c r="R350" s="37">
        <f>IF(AG350="1",H350,0)</f>
        <v>0</v>
      </c>
      <c r="S350" s="37">
        <f>IF(AG350="1",I350,0)</f>
        <v>0</v>
      </c>
      <c r="T350" s="37">
        <f>IF(AG350="7",H350,0)</f>
        <v>0</v>
      </c>
      <c r="U350" s="37">
        <f>IF(AG350="7",I350,0)</f>
        <v>0</v>
      </c>
      <c r="V350" s="37">
        <f>IF(AG350="2",H350,0)</f>
        <v>0</v>
      </c>
      <c r="W350" s="37">
        <f>IF(AG350="2",I350,0)</f>
        <v>0</v>
      </c>
      <c r="X350" s="37">
        <f>IF(AG350="0",J350,0)</f>
        <v>0</v>
      </c>
      <c r="Y350" s="29"/>
      <c r="Z350" s="21">
        <f>IF(AD350=0,J350,0)</f>
        <v>0</v>
      </c>
      <c r="AA350" s="21">
        <f>IF(AD350=15,J350,0)</f>
        <v>0</v>
      </c>
      <c r="AB350" s="21">
        <f>IF(AD350=21,J350,0)</f>
        <v>0</v>
      </c>
      <c r="AD350" s="37">
        <v>21</v>
      </c>
      <c r="AE350" s="37">
        <f>G350*1</f>
        <v>0</v>
      </c>
      <c r="AF350" s="37">
        <f>G350*(1-1)</f>
        <v>0</v>
      </c>
      <c r="AG350" s="33" t="s">
        <v>13</v>
      </c>
      <c r="AM350" s="37">
        <f>F350*AE350</f>
        <v>0</v>
      </c>
      <c r="AN350" s="37">
        <f>F350*AF350</f>
        <v>0</v>
      </c>
      <c r="AO350" s="38" t="s">
        <v>900</v>
      </c>
      <c r="AP350" s="38" t="s">
        <v>922</v>
      </c>
      <c r="AQ350" s="29" t="s">
        <v>926</v>
      </c>
      <c r="AS350" s="37">
        <f>AM350+AN350</f>
        <v>0</v>
      </c>
      <c r="AT350" s="37">
        <f>G350/(100-AU350)*100</f>
        <v>0</v>
      </c>
      <c r="AU350" s="37">
        <v>0</v>
      </c>
      <c r="AV350" s="37">
        <f>L350</f>
        <v>0.13725</v>
      </c>
    </row>
    <row r="351" spans="4:6" ht="12.75">
      <c r="D351" s="15" t="s">
        <v>751</v>
      </c>
      <c r="F351" s="20">
        <v>137.25</v>
      </c>
    </row>
    <row r="352" spans="1:48" ht="12.75">
      <c r="A352" s="4" t="s">
        <v>171</v>
      </c>
      <c r="B352" s="4"/>
      <c r="C352" s="4" t="s">
        <v>385</v>
      </c>
      <c r="D352" s="4" t="s">
        <v>752</v>
      </c>
      <c r="E352" s="4" t="s">
        <v>842</v>
      </c>
      <c r="F352" s="19">
        <v>50</v>
      </c>
      <c r="G352" s="19">
        <v>0</v>
      </c>
      <c r="H352" s="19">
        <f>F352*AE352</f>
        <v>0</v>
      </c>
      <c r="I352" s="19">
        <f>J352-H352</f>
        <v>0</v>
      </c>
      <c r="J352" s="19">
        <f>F352*G352</f>
        <v>0</v>
      </c>
      <c r="K352" s="19">
        <v>0</v>
      </c>
      <c r="L352" s="19">
        <f>F352*K352</f>
        <v>0</v>
      </c>
      <c r="M352" s="32" t="s">
        <v>863</v>
      </c>
      <c r="P352" s="37">
        <f>IF(AG352="5",J352,0)</f>
        <v>0</v>
      </c>
      <c r="R352" s="37">
        <f>IF(AG352="1",H352,0)</f>
        <v>0</v>
      </c>
      <c r="S352" s="37">
        <f>IF(AG352="1",I352,0)</f>
        <v>0</v>
      </c>
      <c r="T352" s="37">
        <f>IF(AG352="7",H352,0)</f>
        <v>0</v>
      </c>
      <c r="U352" s="37">
        <f>IF(AG352="7",I352,0)</f>
        <v>0</v>
      </c>
      <c r="V352" s="37">
        <f>IF(AG352="2",H352,0)</f>
        <v>0</v>
      </c>
      <c r="W352" s="37">
        <f>IF(AG352="2",I352,0)</f>
        <v>0</v>
      </c>
      <c r="X352" s="37">
        <f>IF(AG352="0",J352,0)</f>
        <v>0</v>
      </c>
      <c r="Y352" s="29"/>
      <c r="Z352" s="19">
        <f>IF(AD352=0,J352,0)</f>
        <v>0</v>
      </c>
      <c r="AA352" s="19">
        <f>IF(AD352=15,J352,0)</f>
        <v>0</v>
      </c>
      <c r="AB352" s="19">
        <f>IF(AD352=21,J352,0)</f>
        <v>0</v>
      </c>
      <c r="AD352" s="37">
        <v>21</v>
      </c>
      <c r="AE352" s="37">
        <f>G352*0</f>
        <v>0</v>
      </c>
      <c r="AF352" s="37">
        <f>G352*(1-0)</f>
        <v>0</v>
      </c>
      <c r="AG352" s="32" t="s">
        <v>13</v>
      </c>
      <c r="AM352" s="37">
        <f>F352*AE352</f>
        <v>0</v>
      </c>
      <c r="AN352" s="37">
        <f>F352*AF352</f>
        <v>0</v>
      </c>
      <c r="AO352" s="38" t="s">
        <v>900</v>
      </c>
      <c r="AP352" s="38" t="s">
        <v>922</v>
      </c>
      <c r="AQ352" s="29" t="s">
        <v>926</v>
      </c>
      <c r="AS352" s="37">
        <f>AM352+AN352</f>
        <v>0</v>
      </c>
      <c r="AT352" s="37">
        <f>G352/(100-AU352)*100</f>
        <v>0</v>
      </c>
      <c r="AU352" s="37">
        <v>0</v>
      </c>
      <c r="AV352" s="37">
        <f>L352</f>
        <v>0</v>
      </c>
    </row>
    <row r="353" spans="1:48" ht="12.75">
      <c r="A353" s="6" t="s">
        <v>172</v>
      </c>
      <c r="B353" s="6"/>
      <c r="C353" s="6" t="s">
        <v>386</v>
      </c>
      <c r="D353" s="6" t="s">
        <v>753</v>
      </c>
      <c r="E353" s="6" t="s">
        <v>842</v>
      </c>
      <c r="F353" s="21">
        <v>50</v>
      </c>
      <c r="G353" s="21">
        <v>0</v>
      </c>
      <c r="H353" s="21">
        <f>F353*AE353</f>
        <v>0</v>
      </c>
      <c r="I353" s="21">
        <f>J353-H353</f>
        <v>0</v>
      </c>
      <c r="J353" s="21">
        <f>F353*G353</f>
        <v>0</v>
      </c>
      <c r="K353" s="21">
        <v>0.001</v>
      </c>
      <c r="L353" s="21">
        <f>F353*K353</f>
        <v>0.05</v>
      </c>
      <c r="M353" s="33" t="s">
        <v>863</v>
      </c>
      <c r="P353" s="37">
        <f>IF(AG353="5",J353,0)</f>
        <v>0</v>
      </c>
      <c r="R353" s="37">
        <f>IF(AG353="1",H353,0)</f>
        <v>0</v>
      </c>
      <c r="S353" s="37">
        <f>IF(AG353="1",I353,0)</f>
        <v>0</v>
      </c>
      <c r="T353" s="37">
        <f>IF(AG353="7",H353,0)</f>
        <v>0</v>
      </c>
      <c r="U353" s="37">
        <f>IF(AG353="7",I353,0)</f>
        <v>0</v>
      </c>
      <c r="V353" s="37">
        <f>IF(AG353="2",H353,0)</f>
        <v>0</v>
      </c>
      <c r="W353" s="37">
        <f>IF(AG353="2",I353,0)</f>
        <v>0</v>
      </c>
      <c r="X353" s="37">
        <f>IF(AG353="0",J353,0)</f>
        <v>0</v>
      </c>
      <c r="Y353" s="29"/>
      <c r="Z353" s="21">
        <f>IF(AD353=0,J353,0)</f>
        <v>0</v>
      </c>
      <c r="AA353" s="21">
        <f>IF(AD353=15,J353,0)</f>
        <v>0</v>
      </c>
      <c r="AB353" s="21">
        <f>IF(AD353=21,J353,0)</f>
        <v>0</v>
      </c>
      <c r="AD353" s="37">
        <v>21</v>
      </c>
      <c r="AE353" s="37">
        <f>G353*1</f>
        <v>0</v>
      </c>
      <c r="AF353" s="37">
        <f>G353*(1-1)</f>
        <v>0</v>
      </c>
      <c r="AG353" s="33" t="s">
        <v>13</v>
      </c>
      <c r="AM353" s="37">
        <f>F353*AE353</f>
        <v>0</v>
      </c>
      <c r="AN353" s="37">
        <f>F353*AF353</f>
        <v>0</v>
      </c>
      <c r="AO353" s="38" t="s">
        <v>900</v>
      </c>
      <c r="AP353" s="38" t="s">
        <v>922</v>
      </c>
      <c r="AQ353" s="29" t="s">
        <v>926</v>
      </c>
      <c r="AS353" s="37">
        <f>AM353+AN353</f>
        <v>0</v>
      </c>
      <c r="AT353" s="37">
        <f>G353/(100-AU353)*100</f>
        <v>0</v>
      </c>
      <c r="AU353" s="37">
        <v>0</v>
      </c>
      <c r="AV353" s="37">
        <f>L353</f>
        <v>0.05</v>
      </c>
    </row>
    <row r="354" spans="4:6" ht="12.75">
      <c r="D354" s="15" t="s">
        <v>56</v>
      </c>
      <c r="F354" s="20">
        <v>50</v>
      </c>
    </row>
    <row r="355" spans="1:48" ht="12.75">
      <c r="A355" s="4" t="s">
        <v>173</v>
      </c>
      <c r="B355" s="4"/>
      <c r="C355" s="4" t="s">
        <v>387</v>
      </c>
      <c r="D355" s="4" t="s">
        <v>754</v>
      </c>
      <c r="E355" s="4" t="s">
        <v>839</v>
      </c>
      <c r="F355" s="19">
        <v>10</v>
      </c>
      <c r="G355" s="19">
        <v>0</v>
      </c>
      <c r="H355" s="19">
        <f>F355*AE355</f>
        <v>0</v>
      </c>
      <c r="I355" s="19">
        <f>J355-H355</f>
        <v>0</v>
      </c>
      <c r="J355" s="19">
        <f>F355*G355</f>
        <v>0</v>
      </c>
      <c r="K355" s="19">
        <v>6E-05</v>
      </c>
      <c r="L355" s="19">
        <f>F355*K355</f>
        <v>0.0006000000000000001</v>
      </c>
      <c r="M355" s="32" t="s">
        <v>863</v>
      </c>
      <c r="P355" s="37">
        <f>IF(AG355="5",J355,0)</f>
        <v>0</v>
      </c>
      <c r="R355" s="37">
        <f>IF(AG355="1",H355,0)</f>
        <v>0</v>
      </c>
      <c r="S355" s="37">
        <f>IF(AG355="1",I355,0)</f>
        <v>0</v>
      </c>
      <c r="T355" s="37">
        <f>IF(AG355="7",H355,0)</f>
        <v>0</v>
      </c>
      <c r="U355" s="37">
        <f>IF(AG355="7",I355,0)</f>
        <v>0</v>
      </c>
      <c r="V355" s="37">
        <f>IF(AG355="2",H355,0)</f>
        <v>0</v>
      </c>
      <c r="W355" s="37">
        <f>IF(AG355="2",I355,0)</f>
        <v>0</v>
      </c>
      <c r="X355" s="37">
        <f>IF(AG355="0",J355,0)</f>
        <v>0</v>
      </c>
      <c r="Y355" s="29"/>
      <c r="Z355" s="19">
        <f>IF(AD355=0,J355,0)</f>
        <v>0</v>
      </c>
      <c r="AA355" s="19">
        <f>IF(AD355=15,J355,0)</f>
        <v>0</v>
      </c>
      <c r="AB355" s="19">
        <f>IF(AD355=21,J355,0)</f>
        <v>0</v>
      </c>
      <c r="AD355" s="37">
        <v>21</v>
      </c>
      <c r="AE355" s="37">
        <f>G355*0.193939393939394</f>
        <v>0</v>
      </c>
      <c r="AF355" s="37">
        <f>G355*(1-0.193939393939394)</f>
        <v>0</v>
      </c>
      <c r="AG355" s="32" t="s">
        <v>13</v>
      </c>
      <c r="AM355" s="37">
        <f>F355*AE355</f>
        <v>0</v>
      </c>
      <c r="AN355" s="37">
        <f>F355*AF355</f>
        <v>0</v>
      </c>
      <c r="AO355" s="38" t="s">
        <v>900</v>
      </c>
      <c r="AP355" s="38" t="s">
        <v>922</v>
      </c>
      <c r="AQ355" s="29" t="s">
        <v>926</v>
      </c>
      <c r="AS355" s="37">
        <f>AM355+AN355</f>
        <v>0</v>
      </c>
      <c r="AT355" s="37">
        <f>G355/(100-AU355)*100</f>
        <v>0</v>
      </c>
      <c r="AU355" s="37">
        <v>0</v>
      </c>
      <c r="AV355" s="37">
        <f>L355</f>
        <v>0.0006000000000000001</v>
      </c>
    </row>
    <row r="356" spans="4:6" ht="12.75">
      <c r="D356" s="15" t="s">
        <v>755</v>
      </c>
      <c r="F356" s="20">
        <v>4</v>
      </c>
    </row>
    <row r="357" spans="4:6" ht="12.75">
      <c r="D357" s="15" t="s">
        <v>756</v>
      </c>
      <c r="F357" s="20">
        <v>6</v>
      </c>
    </row>
    <row r="358" spans="1:48" ht="12.75">
      <c r="A358" s="6" t="s">
        <v>174</v>
      </c>
      <c r="B358" s="6"/>
      <c r="C358" s="6" t="s">
        <v>388</v>
      </c>
      <c r="D358" s="6" t="s">
        <v>757</v>
      </c>
      <c r="E358" s="6" t="s">
        <v>839</v>
      </c>
      <c r="F358" s="21">
        <v>10</v>
      </c>
      <c r="G358" s="21">
        <v>0</v>
      </c>
      <c r="H358" s="21">
        <f>F358*AE358</f>
        <v>0</v>
      </c>
      <c r="I358" s="21">
        <f>J358-H358</f>
        <v>0</v>
      </c>
      <c r="J358" s="21">
        <f>F358*G358</f>
        <v>0</v>
      </c>
      <c r="K358" s="21">
        <v>0</v>
      </c>
      <c r="L358" s="21">
        <f>F358*K358</f>
        <v>0</v>
      </c>
      <c r="M358" s="33" t="s">
        <v>863</v>
      </c>
      <c r="P358" s="37">
        <f>IF(AG358="5",J358,0)</f>
        <v>0</v>
      </c>
      <c r="R358" s="37">
        <f>IF(AG358="1",H358,0)</f>
        <v>0</v>
      </c>
      <c r="S358" s="37">
        <f>IF(AG358="1",I358,0)</f>
        <v>0</v>
      </c>
      <c r="T358" s="37">
        <f>IF(AG358="7",H358,0)</f>
        <v>0</v>
      </c>
      <c r="U358" s="37">
        <f>IF(AG358="7",I358,0)</f>
        <v>0</v>
      </c>
      <c r="V358" s="37">
        <f>IF(AG358="2",H358,0)</f>
        <v>0</v>
      </c>
      <c r="W358" s="37">
        <f>IF(AG358="2",I358,0)</f>
        <v>0</v>
      </c>
      <c r="X358" s="37">
        <f>IF(AG358="0",J358,0)</f>
        <v>0</v>
      </c>
      <c r="Y358" s="29"/>
      <c r="Z358" s="21">
        <f>IF(AD358=0,J358,0)</f>
        <v>0</v>
      </c>
      <c r="AA358" s="21">
        <f>IF(AD358=15,J358,0)</f>
        <v>0</v>
      </c>
      <c r="AB358" s="21">
        <f>IF(AD358=21,J358,0)</f>
        <v>0</v>
      </c>
      <c r="AD358" s="37">
        <v>21</v>
      </c>
      <c r="AE358" s="37">
        <f>G358*1</f>
        <v>0</v>
      </c>
      <c r="AF358" s="37">
        <f>G358*(1-1)</f>
        <v>0</v>
      </c>
      <c r="AG358" s="33" t="s">
        <v>13</v>
      </c>
      <c r="AM358" s="37">
        <f>F358*AE358</f>
        <v>0</v>
      </c>
      <c r="AN358" s="37">
        <f>F358*AF358</f>
        <v>0</v>
      </c>
      <c r="AO358" s="38" t="s">
        <v>900</v>
      </c>
      <c r="AP358" s="38" t="s">
        <v>922</v>
      </c>
      <c r="AQ358" s="29" t="s">
        <v>926</v>
      </c>
      <c r="AS358" s="37">
        <f>AM358+AN358</f>
        <v>0</v>
      </c>
      <c r="AT358" s="37">
        <f>G358/(100-AU358)*100</f>
        <v>0</v>
      </c>
      <c r="AU358" s="37">
        <v>0</v>
      </c>
      <c r="AV358" s="37">
        <f>L358</f>
        <v>0</v>
      </c>
    </row>
    <row r="359" spans="1:48" ht="12.75">
      <c r="A359" s="4" t="s">
        <v>175</v>
      </c>
      <c r="B359" s="4"/>
      <c r="C359" s="4" t="s">
        <v>389</v>
      </c>
      <c r="D359" s="4" t="s">
        <v>758</v>
      </c>
      <c r="E359" s="4" t="s">
        <v>842</v>
      </c>
      <c r="F359" s="19">
        <v>238</v>
      </c>
      <c r="G359" s="19">
        <v>0</v>
      </c>
      <c r="H359" s="19">
        <f>F359*AE359</f>
        <v>0</v>
      </c>
      <c r="I359" s="19">
        <f>J359-H359</f>
        <v>0</v>
      </c>
      <c r="J359" s="19">
        <f>F359*G359</f>
        <v>0</v>
      </c>
      <c r="K359" s="19">
        <v>6E-05</v>
      </c>
      <c r="L359" s="19">
        <f>F359*K359</f>
        <v>0.014280000000000001</v>
      </c>
      <c r="M359" s="32" t="s">
        <v>863</v>
      </c>
      <c r="P359" s="37">
        <f>IF(AG359="5",J359,0)</f>
        <v>0</v>
      </c>
      <c r="R359" s="37">
        <f>IF(AG359="1",H359,0)</f>
        <v>0</v>
      </c>
      <c r="S359" s="37">
        <f>IF(AG359="1",I359,0)</f>
        <v>0</v>
      </c>
      <c r="T359" s="37">
        <f>IF(AG359="7",H359,0)</f>
        <v>0</v>
      </c>
      <c r="U359" s="37">
        <f>IF(AG359="7",I359,0)</f>
        <v>0</v>
      </c>
      <c r="V359" s="37">
        <f>IF(AG359="2",H359,0)</f>
        <v>0</v>
      </c>
      <c r="W359" s="37">
        <f>IF(AG359="2",I359,0)</f>
        <v>0</v>
      </c>
      <c r="X359" s="37">
        <f>IF(AG359="0",J359,0)</f>
        <v>0</v>
      </c>
      <c r="Y359" s="29"/>
      <c r="Z359" s="19">
        <f>IF(AD359=0,J359,0)</f>
        <v>0</v>
      </c>
      <c r="AA359" s="19">
        <f>IF(AD359=15,J359,0)</f>
        <v>0</v>
      </c>
      <c r="AB359" s="19">
        <f>IF(AD359=21,J359,0)</f>
        <v>0</v>
      </c>
      <c r="AD359" s="37">
        <v>21</v>
      </c>
      <c r="AE359" s="37">
        <f>G359*0.276978417266187</f>
        <v>0</v>
      </c>
      <c r="AF359" s="37">
        <f>G359*(1-0.276978417266187)</f>
        <v>0</v>
      </c>
      <c r="AG359" s="32" t="s">
        <v>13</v>
      </c>
      <c r="AM359" s="37">
        <f>F359*AE359</f>
        <v>0</v>
      </c>
      <c r="AN359" s="37">
        <f>F359*AF359</f>
        <v>0</v>
      </c>
      <c r="AO359" s="38" t="s">
        <v>900</v>
      </c>
      <c r="AP359" s="38" t="s">
        <v>922</v>
      </c>
      <c r="AQ359" s="29" t="s">
        <v>926</v>
      </c>
      <c r="AS359" s="37">
        <f>AM359+AN359</f>
        <v>0</v>
      </c>
      <c r="AT359" s="37">
        <f>G359/(100-AU359)*100</f>
        <v>0</v>
      </c>
      <c r="AU359" s="37">
        <v>0</v>
      </c>
      <c r="AV359" s="37">
        <f>L359</f>
        <v>0.014280000000000001</v>
      </c>
    </row>
    <row r="360" spans="4:6" ht="12.75">
      <c r="D360" s="15" t="s">
        <v>759</v>
      </c>
      <c r="F360" s="20">
        <v>238</v>
      </c>
    </row>
    <row r="361" spans="1:48" ht="12.75">
      <c r="A361" s="6" t="s">
        <v>176</v>
      </c>
      <c r="B361" s="6"/>
      <c r="C361" s="6" t="s">
        <v>390</v>
      </c>
      <c r="D361" s="6" t="s">
        <v>760</v>
      </c>
      <c r="E361" s="6" t="s">
        <v>839</v>
      </c>
      <c r="F361" s="21">
        <v>7.7</v>
      </c>
      <c r="G361" s="21">
        <v>0</v>
      </c>
      <c r="H361" s="21">
        <f>F361*AE361</f>
        <v>0</v>
      </c>
      <c r="I361" s="21">
        <f>J361-H361</f>
        <v>0</v>
      </c>
      <c r="J361" s="21">
        <f>F361*G361</f>
        <v>0</v>
      </c>
      <c r="K361" s="21">
        <v>0.0323</v>
      </c>
      <c r="L361" s="21">
        <f>F361*K361</f>
        <v>0.24871000000000001</v>
      </c>
      <c r="M361" s="33" t="s">
        <v>863</v>
      </c>
      <c r="P361" s="37">
        <f>IF(AG361="5",J361,0)</f>
        <v>0</v>
      </c>
      <c r="R361" s="37">
        <f>IF(AG361="1",H361,0)</f>
        <v>0</v>
      </c>
      <c r="S361" s="37">
        <f>IF(AG361="1",I361,0)</f>
        <v>0</v>
      </c>
      <c r="T361" s="37">
        <f>IF(AG361="7",H361,0)</f>
        <v>0</v>
      </c>
      <c r="U361" s="37">
        <f>IF(AG361="7",I361,0)</f>
        <v>0</v>
      </c>
      <c r="V361" s="37">
        <f>IF(AG361="2",H361,0)</f>
        <v>0</v>
      </c>
      <c r="W361" s="37">
        <f>IF(AG361="2",I361,0)</f>
        <v>0</v>
      </c>
      <c r="X361" s="37">
        <f>IF(AG361="0",J361,0)</f>
        <v>0</v>
      </c>
      <c r="Y361" s="29"/>
      <c r="Z361" s="21">
        <f>IF(AD361=0,J361,0)</f>
        <v>0</v>
      </c>
      <c r="AA361" s="21">
        <f>IF(AD361=15,J361,0)</f>
        <v>0</v>
      </c>
      <c r="AB361" s="21">
        <f>IF(AD361=21,J361,0)</f>
        <v>0</v>
      </c>
      <c r="AD361" s="37">
        <v>21</v>
      </c>
      <c r="AE361" s="37">
        <f>G361*1</f>
        <v>0</v>
      </c>
      <c r="AF361" s="37">
        <f>G361*(1-1)</f>
        <v>0</v>
      </c>
      <c r="AG361" s="33" t="s">
        <v>13</v>
      </c>
      <c r="AM361" s="37">
        <f>F361*AE361</f>
        <v>0</v>
      </c>
      <c r="AN361" s="37">
        <f>F361*AF361</f>
        <v>0</v>
      </c>
      <c r="AO361" s="38" t="s">
        <v>900</v>
      </c>
      <c r="AP361" s="38" t="s">
        <v>922</v>
      </c>
      <c r="AQ361" s="29" t="s">
        <v>926</v>
      </c>
      <c r="AS361" s="37">
        <f>AM361+AN361</f>
        <v>0</v>
      </c>
      <c r="AT361" s="37">
        <f>G361/(100-AU361)*100</f>
        <v>0</v>
      </c>
      <c r="AU361" s="37">
        <v>0</v>
      </c>
      <c r="AV361" s="37">
        <f>L361</f>
        <v>0.24871000000000001</v>
      </c>
    </row>
    <row r="362" spans="4:6" ht="12.75">
      <c r="D362" s="15" t="s">
        <v>13</v>
      </c>
      <c r="F362" s="20">
        <v>7</v>
      </c>
    </row>
    <row r="363" spans="4:6" ht="12.75">
      <c r="D363" s="15" t="s">
        <v>761</v>
      </c>
      <c r="F363" s="20">
        <v>0.7</v>
      </c>
    </row>
    <row r="364" spans="1:48" ht="12.75">
      <c r="A364" s="4" t="s">
        <v>177</v>
      </c>
      <c r="B364" s="4"/>
      <c r="C364" s="4" t="s">
        <v>391</v>
      </c>
      <c r="D364" s="4" t="s">
        <v>762</v>
      </c>
      <c r="E364" s="4" t="s">
        <v>842</v>
      </c>
      <c r="F364" s="19">
        <v>36.9</v>
      </c>
      <c r="G364" s="19">
        <v>0</v>
      </c>
      <c r="H364" s="19">
        <f>F364*AE364</f>
        <v>0</v>
      </c>
      <c r="I364" s="19">
        <f>J364-H364</f>
        <v>0</v>
      </c>
      <c r="J364" s="19">
        <f>F364*G364</f>
        <v>0</v>
      </c>
      <c r="K364" s="19">
        <v>6E-05</v>
      </c>
      <c r="L364" s="19">
        <f>F364*K364</f>
        <v>0.002214</v>
      </c>
      <c r="M364" s="32" t="s">
        <v>863</v>
      </c>
      <c r="P364" s="37">
        <f>IF(AG364="5",J364,0)</f>
        <v>0</v>
      </c>
      <c r="R364" s="37">
        <f>IF(AG364="1",H364,0)</f>
        <v>0</v>
      </c>
      <c r="S364" s="37">
        <f>IF(AG364="1",I364,0)</f>
        <v>0</v>
      </c>
      <c r="T364" s="37">
        <f>IF(AG364="7",H364,0)</f>
        <v>0</v>
      </c>
      <c r="U364" s="37">
        <f>IF(AG364="7",I364,0)</f>
        <v>0</v>
      </c>
      <c r="V364" s="37">
        <f>IF(AG364="2",H364,0)</f>
        <v>0</v>
      </c>
      <c r="W364" s="37">
        <f>IF(AG364="2",I364,0)</f>
        <v>0</v>
      </c>
      <c r="X364" s="37">
        <f>IF(AG364="0",J364,0)</f>
        <v>0</v>
      </c>
      <c r="Y364" s="29"/>
      <c r="Z364" s="19">
        <f>IF(AD364=0,J364,0)</f>
        <v>0</v>
      </c>
      <c r="AA364" s="19">
        <f>IF(AD364=15,J364,0)</f>
        <v>0</v>
      </c>
      <c r="AB364" s="19">
        <f>IF(AD364=21,J364,0)</f>
        <v>0</v>
      </c>
      <c r="AD364" s="37">
        <v>21</v>
      </c>
      <c r="AE364" s="37">
        <f>G364*0.103282051282051</f>
        <v>0</v>
      </c>
      <c r="AF364" s="37">
        <f>G364*(1-0.103282051282051)</f>
        <v>0</v>
      </c>
      <c r="AG364" s="32" t="s">
        <v>13</v>
      </c>
      <c r="AM364" s="37">
        <f>F364*AE364</f>
        <v>0</v>
      </c>
      <c r="AN364" s="37">
        <f>F364*AF364</f>
        <v>0</v>
      </c>
      <c r="AO364" s="38" t="s">
        <v>900</v>
      </c>
      <c r="AP364" s="38" t="s">
        <v>922</v>
      </c>
      <c r="AQ364" s="29" t="s">
        <v>926</v>
      </c>
      <c r="AS364" s="37">
        <f>AM364+AN364</f>
        <v>0</v>
      </c>
      <c r="AT364" s="37">
        <f>G364/(100-AU364)*100</f>
        <v>0</v>
      </c>
      <c r="AU364" s="37">
        <v>0</v>
      </c>
      <c r="AV364" s="37">
        <f>L364</f>
        <v>0.002214</v>
      </c>
    </row>
    <row r="365" spans="4:6" ht="12.75">
      <c r="D365" s="15" t="s">
        <v>763</v>
      </c>
      <c r="F365" s="20">
        <v>36.9</v>
      </c>
    </row>
    <row r="366" spans="1:48" ht="12.75">
      <c r="A366" s="6" t="s">
        <v>178</v>
      </c>
      <c r="B366" s="6"/>
      <c r="C366" s="6" t="s">
        <v>392</v>
      </c>
      <c r="D366" s="6" t="s">
        <v>764</v>
      </c>
      <c r="E366" s="6" t="s">
        <v>842</v>
      </c>
      <c r="F366" s="21">
        <v>36.9</v>
      </c>
      <c r="G366" s="21">
        <v>0</v>
      </c>
      <c r="H366" s="21">
        <f>F366*AE366</f>
        <v>0</v>
      </c>
      <c r="I366" s="21">
        <f>J366-H366</f>
        <v>0</v>
      </c>
      <c r="J366" s="21">
        <f>F366*G366</f>
        <v>0</v>
      </c>
      <c r="K366" s="21">
        <v>0.001</v>
      </c>
      <c r="L366" s="21">
        <f>F366*K366</f>
        <v>0.0369</v>
      </c>
      <c r="M366" s="33" t="s">
        <v>863</v>
      </c>
      <c r="P366" s="37">
        <f>IF(AG366="5",J366,0)</f>
        <v>0</v>
      </c>
      <c r="R366" s="37">
        <f>IF(AG366="1",H366,0)</f>
        <v>0</v>
      </c>
      <c r="S366" s="37">
        <f>IF(AG366="1",I366,0)</f>
        <v>0</v>
      </c>
      <c r="T366" s="37">
        <f>IF(AG366="7",H366,0)</f>
        <v>0</v>
      </c>
      <c r="U366" s="37">
        <f>IF(AG366="7",I366,0)</f>
        <v>0</v>
      </c>
      <c r="V366" s="37">
        <f>IF(AG366="2",H366,0)</f>
        <v>0</v>
      </c>
      <c r="W366" s="37">
        <f>IF(AG366="2",I366,0)</f>
        <v>0</v>
      </c>
      <c r="X366" s="37">
        <f>IF(AG366="0",J366,0)</f>
        <v>0</v>
      </c>
      <c r="Y366" s="29"/>
      <c r="Z366" s="21">
        <f>IF(AD366=0,J366,0)</f>
        <v>0</v>
      </c>
      <c r="AA366" s="21">
        <f>IF(AD366=15,J366,0)</f>
        <v>0</v>
      </c>
      <c r="AB366" s="21">
        <f>IF(AD366=21,J366,0)</f>
        <v>0</v>
      </c>
      <c r="AD366" s="37">
        <v>21</v>
      </c>
      <c r="AE366" s="37">
        <f>G366*1</f>
        <v>0</v>
      </c>
      <c r="AF366" s="37">
        <f>G366*(1-1)</f>
        <v>0</v>
      </c>
      <c r="AG366" s="33" t="s">
        <v>13</v>
      </c>
      <c r="AM366" s="37">
        <f>F366*AE366</f>
        <v>0</v>
      </c>
      <c r="AN366" s="37">
        <f>F366*AF366</f>
        <v>0</v>
      </c>
      <c r="AO366" s="38" t="s">
        <v>900</v>
      </c>
      <c r="AP366" s="38" t="s">
        <v>922</v>
      </c>
      <c r="AQ366" s="29" t="s">
        <v>926</v>
      </c>
      <c r="AS366" s="37">
        <f>AM366+AN366</f>
        <v>0</v>
      </c>
      <c r="AT366" s="37">
        <f>G366/(100-AU366)*100</f>
        <v>0</v>
      </c>
      <c r="AU366" s="37">
        <v>0</v>
      </c>
      <c r="AV366" s="37">
        <f>L366</f>
        <v>0.0369</v>
      </c>
    </row>
    <row r="367" spans="4:6" ht="12.75">
      <c r="D367" s="15" t="s">
        <v>765</v>
      </c>
      <c r="F367" s="20">
        <v>36.9</v>
      </c>
    </row>
    <row r="368" spans="1:48" ht="12.75">
      <c r="A368" s="4" t="s">
        <v>179</v>
      </c>
      <c r="B368" s="4"/>
      <c r="C368" s="4" t="s">
        <v>393</v>
      </c>
      <c r="D368" s="4" t="s">
        <v>766</v>
      </c>
      <c r="E368" s="4" t="s">
        <v>840</v>
      </c>
      <c r="F368" s="19">
        <v>0.66</v>
      </c>
      <c r="G368" s="19">
        <v>0</v>
      </c>
      <c r="H368" s="19">
        <f>F368*AE368</f>
        <v>0</v>
      </c>
      <c r="I368" s="19">
        <f>J368-H368</f>
        <v>0</v>
      </c>
      <c r="J368" s="19">
        <f>F368*G368</f>
        <v>0</v>
      </c>
      <c r="K368" s="19">
        <v>0</v>
      </c>
      <c r="L368" s="19">
        <f>F368*K368</f>
        <v>0</v>
      </c>
      <c r="M368" s="32" t="s">
        <v>863</v>
      </c>
      <c r="P368" s="37">
        <f>IF(AG368="5",J368,0)</f>
        <v>0</v>
      </c>
      <c r="R368" s="37">
        <f>IF(AG368="1",H368,0)</f>
        <v>0</v>
      </c>
      <c r="S368" s="37">
        <f>IF(AG368="1",I368,0)</f>
        <v>0</v>
      </c>
      <c r="T368" s="37">
        <f>IF(AG368="7",H368,0)</f>
        <v>0</v>
      </c>
      <c r="U368" s="37">
        <f>IF(AG368="7",I368,0)</f>
        <v>0</v>
      </c>
      <c r="V368" s="37">
        <f>IF(AG368="2",H368,0)</f>
        <v>0</v>
      </c>
      <c r="W368" s="37">
        <f>IF(AG368="2",I368,0)</f>
        <v>0</v>
      </c>
      <c r="X368" s="37">
        <f>IF(AG368="0",J368,0)</f>
        <v>0</v>
      </c>
      <c r="Y368" s="29"/>
      <c r="Z368" s="19">
        <f>IF(AD368=0,J368,0)</f>
        <v>0</v>
      </c>
      <c r="AA368" s="19">
        <f>IF(AD368=15,J368,0)</f>
        <v>0</v>
      </c>
      <c r="AB368" s="19">
        <f>IF(AD368=21,J368,0)</f>
        <v>0</v>
      </c>
      <c r="AD368" s="37">
        <v>21</v>
      </c>
      <c r="AE368" s="37">
        <f>G368*0</f>
        <v>0</v>
      </c>
      <c r="AF368" s="37">
        <f>G368*(1-0)</f>
        <v>0</v>
      </c>
      <c r="AG368" s="32" t="s">
        <v>11</v>
      </c>
      <c r="AM368" s="37">
        <f>F368*AE368</f>
        <v>0</v>
      </c>
      <c r="AN368" s="37">
        <f>F368*AF368</f>
        <v>0</v>
      </c>
      <c r="AO368" s="38" t="s">
        <v>900</v>
      </c>
      <c r="AP368" s="38" t="s">
        <v>922</v>
      </c>
      <c r="AQ368" s="29" t="s">
        <v>926</v>
      </c>
      <c r="AS368" s="37">
        <f>AM368+AN368</f>
        <v>0</v>
      </c>
      <c r="AT368" s="37">
        <f>G368/(100-AU368)*100</f>
        <v>0</v>
      </c>
      <c r="AU368" s="37">
        <v>0</v>
      </c>
      <c r="AV368" s="37">
        <f>L368</f>
        <v>0</v>
      </c>
    </row>
    <row r="369" spans="1:37" ht="12.75">
      <c r="A369" s="5"/>
      <c r="B369" s="13"/>
      <c r="C369" s="13" t="s">
        <v>394</v>
      </c>
      <c r="D369" s="13" t="s">
        <v>767</v>
      </c>
      <c r="E369" s="5" t="s">
        <v>6</v>
      </c>
      <c r="F369" s="5" t="s">
        <v>6</v>
      </c>
      <c r="G369" s="5" t="s">
        <v>6</v>
      </c>
      <c r="H369" s="40">
        <f>SUM(H370:H378)</f>
        <v>0</v>
      </c>
      <c r="I369" s="40">
        <f>SUM(I370:I378)</f>
        <v>0</v>
      </c>
      <c r="J369" s="40">
        <f>H369+I369</f>
        <v>0</v>
      </c>
      <c r="K369" s="29"/>
      <c r="L369" s="40">
        <f>SUM(L370:L378)</f>
        <v>0.0568547</v>
      </c>
      <c r="M369" s="29"/>
      <c r="Y369" s="29"/>
      <c r="AI369" s="40">
        <f>SUM(Z370:Z378)</f>
        <v>0</v>
      </c>
      <c r="AJ369" s="40">
        <f>SUM(AA370:AA378)</f>
        <v>0</v>
      </c>
      <c r="AK369" s="40">
        <f>SUM(AB370:AB378)</f>
        <v>0</v>
      </c>
    </row>
    <row r="370" spans="1:48" ht="12.75">
      <c r="A370" s="4" t="s">
        <v>180</v>
      </c>
      <c r="B370" s="4"/>
      <c r="C370" s="4" t="s">
        <v>395</v>
      </c>
      <c r="D370" s="4" t="s">
        <v>768</v>
      </c>
      <c r="E370" s="4" t="s">
        <v>837</v>
      </c>
      <c r="F370" s="19">
        <v>18.09</v>
      </c>
      <c r="G370" s="19">
        <v>0</v>
      </c>
      <c r="H370" s="19">
        <f>F370*AE370</f>
        <v>0</v>
      </c>
      <c r="I370" s="19">
        <f>J370-H370</f>
        <v>0</v>
      </c>
      <c r="J370" s="19">
        <f>F370*G370</f>
        <v>0</v>
      </c>
      <c r="K370" s="19">
        <v>8E-05</v>
      </c>
      <c r="L370" s="19">
        <f>F370*K370</f>
        <v>0.0014472</v>
      </c>
      <c r="M370" s="32" t="s">
        <v>863</v>
      </c>
      <c r="P370" s="37">
        <f>IF(AG370="5",J370,0)</f>
        <v>0</v>
      </c>
      <c r="R370" s="37">
        <f>IF(AG370="1",H370,0)</f>
        <v>0</v>
      </c>
      <c r="S370" s="37">
        <f>IF(AG370="1",I370,0)</f>
        <v>0</v>
      </c>
      <c r="T370" s="37">
        <f>IF(AG370="7",H370,0)</f>
        <v>0</v>
      </c>
      <c r="U370" s="37">
        <f>IF(AG370="7",I370,0)</f>
        <v>0</v>
      </c>
      <c r="V370" s="37">
        <f>IF(AG370="2",H370,0)</f>
        <v>0</v>
      </c>
      <c r="W370" s="37">
        <f>IF(AG370="2",I370,0)</f>
        <v>0</v>
      </c>
      <c r="X370" s="37">
        <f>IF(AG370="0",J370,0)</f>
        <v>0</v>
      </c>
      <c r="Y370" s="29"/>
      <c r="Z370" s="19">
        <f>IF(AD370=0,J370,0)</f>
        <v>0</v>
      </c>
      <c r="AA370" s="19">
        <f>IF(AD370=15,J370,0)</f>
        <v>0</v>
      </c>
      <c r="AB370" s="19">
        <f>IF(AD370=21,J370,0)</f>
        <v>0</v>
      </c>
      <c r="AD370" s="37">
        <v>21</v>
      </c>
      <c r="AE370" s="37">
        <f>G370*0.336601010003289</f>
        <v>0</v>
      </c>
      <c r="AF370" s="37">
        <f>G370*(1-0.336601010003289)</f>
        <v>0</v>
      </c>
      <c r="AG370" s="32" t="s">
        <v>13</v>
      </c>
      <c r="AM370" s="37">
        <f>F370*AE370</f>
        <v>0</v>
      </c>
      <c r="AN370" s="37">
        <f>F370*AF370</f>
        <v>0</v>
      </c>
      <c r="AO370" s="38" t="s">
        <v>901</v>
      </c>
      <c r="AP370" s="38" t="s">
        <v>923</v>
      </c>
      <c r="AQ370" s="29" t="s">
        <v>926</v>
      </c>
      <c r="AS370" s="37">
        <f>AM370+AN370</f>
        <v>0</v>
      </c>
      <c r="AT370" s="37">
        <f>G370/(100-AU370)*100</f>
        <v>0</v>
      </c>
      <c r="AU370" s="37">
        <v>0</v>
      </c>
      <c r="AV370" s="37">
        <f>L370</f>
        <v>0.0014472</v>
      </c>
    </row>
    <row r="371" ht="12.75">
      <c r="D371" s="16" t="s">
        <v>769</v>
      </c>
    </row>
    <row r="372" spans="4:6" ht="12.75">
      <c r="D372" s="15" t="s">
        <v>770</v>
      </c>
      <c r="F372" s="20">
        <v>15.74</v>
      </c>
    </row>
    <row r="373" spans="4:6" ht="12.75">
      <c r="D373" s="15" t="s">
        <v>771</v>
      </c>
      <c r="F373" s="20">
        <v>2.35</v>
      </c>
    </row>
    <row r="374" spans="1:48" ht="12.75">
      <c r="A374" s="4" t="s">
        <v>181</v>
      </c>
      <c r="B374" s="4"/>
      <c r="C374" s="4" t="s">
        <v>396</v>
      </c>
      <c r="D374" s="4" t="s">
        <v>772</v>
      </c>
      <c r="E374" s="4" t="s">
        <v>841</v>
      </c>
      <c r="F374" s="19">
        <v>8.35</v>
      </c>
      <c r="G374" s="19">
        <v>0</v>
      </c>
      <c r="H374" s="19">
        <f>F374*AE374</f>
        <v>0</v>
      </c>
      <c r="I374" s="19">
        <f>J374-H374</f>
        <v>0</v>
      </c>
      <c r="J374" s="19">
        <f>F374*G374</f>
        <v>0</v>
      </c>
      <c r="K374" s="19">
        <v>0.00025</v>
      </c>
      <c r="L374" s="19">
        <f>F374*K374</f>
        <v>0.0020875</v>
      </c>
      <c r="M374" s="32" t="s">
        <v>863</v>
      </c>
      <c r="P374" s="37">
        <f>IF(AG374="5",J374,0)</f>
        <v>0</v>
      </c>
      <c r="R374" s="37">
        <f>IF(AG374="1",H374,0)</f>
        <v>0</v>
      </c>
      <c r="S374" s="37">
        <f>IF(AG374="1",I374,0)</f>
        <v>0</v>
      </c>
      <c r="T374" s="37">
        <f>IF(AG374="7",H374,0)</f>
        <v>0</v>
      </c>
      <c r="U374" s="37">
        <f>IF(AG374="7",I374,0)</f>
        <v>0</v>
      </c>
      <c r="V374" s="37">
        <f>IF(AG374="2",H374,0)</f>
        <v>0</v>
      </c>
      <c r="W374" s="37">
        <f>IF(AG374="2",I374,0)</f>
        <v>0</v>
      </c>
      <c r="X374" s="37">
        <f>IF(AG374="0",J374,0)</f>
        <v>0</v>
      </c>
      <c r="Y374" s="29"/>
      <c r="Z374" s="19">
        <f>IF(AD374=0,J374,0)</f>
        <v>0</v>
      </c>
      <c r="AA374" s="19">
        <f>IF(AD374=15,J374,0)</f>
        <v>0</v>
      </c>
      <c r="AB374" s="19">
        <f>IF(AD374=21,J374,0)</f>
        <v>0</v>
      </c>
      <c r="AD374" s="37">
        <v>21</v>
      </c>
      <c r="AE374" s="37">
        <f>G374*0.372057142857143</f>
        <v>0</v>
      </c>
      <c r="AF374" s="37">
        <f>G374*(1-0.372057142857143)</f>
        <v>0</v>
      </c>
      <c r="AG374" s="32" t="s">
        <v>13</v>
      </c>
      <c r="AM374" s="37">
        <f>F374*AE374</f>
        <v>0</v>
      </c>
      <c r="AN374" s="37">
        <f>F374*AF374</f>
        <v>0</v>
      </c>
      <c r="AO374" s="38" t="s">
        <v>901</v>
      </c>
      <c r="AP374" s="38" t="s">
        <v>923</v>
      </c>
      <c r="AQ374" s="29" t="s">
        <v>926</v>
      </c>
      <c r="AS374" s="37">
        <f>AM374+AN374</f>
        <v>0</v>
      </c>
      <c r="AT374" s="37">
        <f>G374/(100-AU374)*100</f>
        <v>0</v>
      </c>
      <c r="AU374" s="37">
        <v>0</v>
      </c>
      <c r="AV374" s="37">
        <f>L374</f>
        <v>0.0020875</v>
      </c>
    </row>
    <row r="375" spans="4:6" ht="12.75">
      <c r="D375" s="15" t="s">
        <v>580</v>
      </c>
      <c r="F375" s="20">
        <v>8.35</v>
      </c>
    </row>
    <row r="376" spans="1:48" ht="12.75">
      <c r="A376" s="6" t="s">
        <v>182</v>
      </c>
      <c r="B376" s="6"/>
      <c r="C376" s="6" t="s">
        <v>397</v>
      </c>
      <c r="D376" s="6" t="s">
        <v>773</v>
      </c>
      <c r="E376" s="6" t="s">
        <v>841</v>
      </c>
      <c r="F376" s="21">
        <v>17.2</v>
      </c>
      <c r="G376" s="21">
        <v>0</v>
      </c>
      <c r="H376" s="21">
        <f>F376*AE376</f>
        <v>0</v>
      </c>
      <c r="I376" s="21">
        <f>J376-H376</f>
        <v>0</v>
      </c>
      <c r="J376" s="21">
        <f>F376*G376</f>
        <v>0</v>
      </c>
      <c r="K376" s="21">
        <v>0.0031</v>
      </c>
      <c r="L376" s="21">
        <f>F376*K376</f>
        <v>0.05332</v>
      </c>
      <c r="M376" s="33" t="s">
        <v>863</v>
      </c>
      <c r="P376" s="37">
        <f>IF(AG376="5",J376,0)</f>
        <v>0</v>
      </c>
      <c r="R376" s="37">
        <f>IF(AG376="1",H376,0)</f>
        <v>0</v>
      </c>
      <c r="S376" s="37">
        <f>IF(AG376="1",I376,0)</f>
        <v>0</v>
      </c>
      <c r="T376" s="37">
        <f>IF(AG376="7",H376,0)</f>
        <v>0</v>
      </c>
      <c r="U376" s="37">
        <f>IF(AG376="7",I376,0)</f>
        <v>0</v>
      </c>
      <c r="V376" s="37">
        <f>IF(AG376="2",H376,0)</f>
        <v>0</v>
      </c>
      <c r="W376" s="37">
        <f>IF(AG376="2",I376,0)</f>
        <v>0</v>
      </c>
      <c r="X376" s="37">
        <f>IF(AG376="0",J376,0)</f>
        <v>0</v>
      </c>
      <c r="Y376" s="29"/>
      <c r="Z376" s="21">
        <f>IF(AD376=0,J376,0)</f>
        <v>0</v>
      </c>
      <c r="AA376" s="21">
        <f>IF(AD376=15,J376,0)</f>
        <v>0</v>
      </c>
      <c r="AB376" s="21">
        <f>IF(AD376=21,J376,0)</f>
        <v>0</v>
      </c>
      <c r="AD376" s="37">
        <v>21</v>
      </c>
      <c r="AE376" s="37">
        <f>G376*1</f>
        <v>0</v>
      </c>
      <c r="AF376" s="37">
        <f>G376*(1-1)</f>
        <v>0</v>
      </c>
      <c r="AG376" s="33" t="s">
        <v>13</v>
      </c>
      <c r="AM376" s="37">
        <f>F376*AE376</f>
        <v>0</v>
      </c>
      <c r="AN376" s="37">
        <f>F376*AF376</f>
        <v>0</v>
      </c>
      <c r="AO376" s="38" t="s">
        <v>901</v>
      </c>
      <c r="AP376" s="38" t="s">
        <v>923</v>
      </c>
      <c r="AQ376" s="29" t="s">
        <v>926</v>
      </c>
      <c r="AS376" s="37">
        <f>AM376+AN376</f>
        <v>0</v>
      </c>
      <c r="AT376" s="37">
        <f>G376/(100-AU376)*100</f>
        <v>0</v>
      </c>
      <c r="AU376" s="37">
        <v>0</v>
      </c>
      <c r="AV376" s="37">
        <f>L376</f>
        <v>0.05332</v>
      </c>
    </row>
    <row r="377" spans="4:6" ht="12.75">
      <c r="D377" s="15" t="s">
        <v>774</v>
      </c>
      <c r="F377" s="20">
        <v>17.2</v>
      </c>
    </row>
    <row r="378" spans="1:48" ht="12.75">
      <c r="A378" s="4" t="s">
        <v>183</v>
      </c>
      <c r="B378" s="4"/>
      <c r="C378" s="4" t="s">
        <v>398</v>
      </c>
      <c r="D378" s="4" t="s">
        <v>775</v>
      </c>
      <c r="E378" s="4" t="s">
        <v>840</v>
      </c>
      <c r="F378" s="19">
        <v>0.06</v>
      </c>
      <c r="G378" s="19">
        <v>0</v>
      </c>
      <c r="H378" s="19">
        <f>F378*AE378</f>
        <v>0</v>
      </c>
      <c r="I378" s="19">
        <f>J378-H378</f>
        <v>0</v>
      </c>
      <c r="J378" s="19">
        <f>F378*G378</f>
        <v>0</v>
      </c>
      <c r="K378" s="19">
        <v>0</v>
      </c>
      <c r="L378" s="19">
        <f>F378*K378</f>
        <v>0</v>
      </c>
      <c r="M378" s="32" t="s">
        <v>863</v>
      </c>
      <c r="P378" s="37">
        <f>IF(AG378="5",J378,0)</f>
        <v>0</v>
      </c>
      <c r="R378" s="37">
        <f>IF(AG378="1",H378,0)</f>
        <v>0</v>
      </c>
      <c r="S378" s="37">
        <f>IF(AG378="1",I378,0)</f>
        <v>0</v>
      </c>
      <c r="T378" s="37">
        <f>IF(AG378="7",H378,0)</f>
        <v>0</v>
      </c>
      <c r="U378" s="37">
        <f>IF(AG378="7",I378,0)</f>
        <v>0</v>
      </c>
      <c r="V378" s="37">
        <f>IF(AG378="2",H378,0)</f>
        <v>0</v>
      </c>
      <c r="W378" s="37">
        <f>IF(AG378="2",I378,0)</f>
        <v>0</v>
      </c>
      <c r="X378" s="37">
        <f>IF(AG378="0",J378,0)</f>
        <v>0</v>
      </c>
      <c r="Y378" s="29"/>
      <c r="Z378" s="19">
        <f>IF(AD378=0,J378,0)</f>
        <v>0</v>
      </c>
      <c r="AA378" s="19">
        <f>IF(AD378=15,J378,0)</f>
        <v>0</v>
      </c>
      <c r="AB378" s="19">
        <f>IF(AD378=21,J378,0)</f>
        <v>0</v>
      </c>
      <c r="AD378" s="37">
        <v>21</v>
      </c>
      <c r="AE378" s="37">
        <f>G378*0</f>
        <v>0</v>
      </c>
      <c r="AF378" s="37">
        <f>G378*(1-0)</f>
        <v>0</v>
      </c>
      <c r="AG378" s="32" t="s">
        <v>11</v>
      </c>
      <c r="AM378" s="37">
        <f>F378*AE378</f>
        <v>0</v>
      </c>
      <c r="AN378" s="37">
        <f>F378*AF378</f>
        <v>0</v>
      </c>
      <c r="AO378" s="38" t="s">
        <v>901</v>
      </c>
      <c r="AP378" s="38" t="s">
        <v>923</v>
      </c>
      <c r="AQ378" s="29" t="s">
        <v>926</v>
      </c>
      <c r="AS378" s="37">
        <f>AM378+AN378</f>
        <v>0</v>
      </c>
      <c r="AT378" s="37">
        <f>G378/(100-AU378)*100</f>
        <v>0</v>
      </c>
      <c r="AU378" s="37">
        <v>0</v>
      </c>
      <c r="AV378" s="37">
        <f>L378</f>
        <v>0</v>
      </c>
    </row>
    <row r="379" spans="1:37" ht="12.75">
      <c r="A379" s="5"/>
      <c r="B379" s="13"/>
      <c r="C379" s="13" t="s">
        <v>399</v>
      </c>
      <c r="D379" s="13" t="s">
        <v>776</v>
      </c>
      <c r="E379" s="5" t="s">
        <v>6</v>
      </c>
      <c r="F379" s="5" t="s">
        <v>6</v>
      </c>
      <c r="G379" s="5" t="s">
        <v>6</v>
      </c>
      <c r="H379" s="40">
        <f>SUM(H380:H387)</f>
        <v>0</v>
      </c>
      <c r="I379" s="40">
        <f>SUM(I380:I387)</f>
        <v>0</v>
      </c>
      <c r="J379" s="40">
        <f>H379+I379</f>
        <v>0</v>
      </c>
      <c r="K379" s="29"/>
      <c r="L379" s="40">
        <f>SUM(L380:L387)</f>
        <v>0.143661</v>
      </c>
      <c r="M379" s="29"/>
      <c r="Y379" s="29"/>
      <c r="AI379" s="40">
        <f>SUM(Z380:Z387)</f>
        <v>0</v>
      </c>
      <c r="AJ379" s="40">
        <f>SUM(AA380:AA387)</f>
        <v>0</v>
      </c>
      <c r="AK379" s="40">
        <f>SUM(AB380:AB387)</f>
        <v>0</v>
      </c>
    </row>
    <row r="380" spans="1:48" ht="12.75">
      <c r="A380" s="4" t="s">
        <v>184</v>
      </c>
      <c r="B380" s="4"/>
      <c r="C380" s="4" t="s">
        <v>400</v>
      </c>
      <c r="D380" s="4" t="s">
        <v>777</v>
      </c>
      <c r="E380" s="4" t="s">
        <v>841</v>
      </c>
      <c r="F380" s="19">
        <v>3.6</v>
      </c>
      <c r="G380" s="19">
        <v>0</v>
      </c>
      <c r="H380" s="19">
        <f>F380*AE380</f>
        <v>0</v>
      </c>
      <c r="I380" s="19">
        <f>J380-H380</f>
        <v>0</v>
      </c>
      <c r="J380" s="19">
        <f>F380*G380</f>
        <v>0</v>
      </c>
      <c r="K380" s="19">
        <v>0.00021</v>
      </c>
      <c r="L380" s="19">
        <f>F380*K380</f>
        <v>0.000756</v>
      </c>
      <c r="M380" s="32" t="s">
        <v>863</v>
      </c>
      <c r="P380" s="37">
        <f>IF(AG380="5",J380,0)</f>
        <v>0</v>
      </c>
      <c r="R380" s="37">
        <f>IF(AG380="1",H380,0)</f>
        <v>0</v>
      </c>
      <c r="S380" s="37">
        <f>IF(AG380="1",I380,0)</f>
        <v>0</v>
      </c>
      <c r="T380" s="37">
        <f>IF(AG380="7",H380,0)</f>
        <v>0</v>
      </c>
      <c r="U380" s="37">
        <f>IF(AG380="7",I380,0)</f>
        <v>0</v>
      </c>
      <c r="V380" s="37">
        <f>IF(AG380="2",H380,0)</f>
        <v>0</v>
      </c>
      <c r="W380" s="37">
        <f>IF(AG380="2",I380,0)</f>
        <v>0</v>
      </c>
      <c r="X380" s="37">
        <f>IF(AG380="0",J380,0)</f>
        <v>0</v>
      </c>
      <c r="Y380" s="29"/>
      <c r="Z380" s="19">
        <f>IF(AD380=0,J380,0)</f>
        <v>0</v>
      </c>
      <c r="AA380" s="19">
        <f>IF(AD380=15,J380,0)</f>
        <v>0</v>
      </c>
      <c r="AB380" s="19">
        <f>IF(AD380=21,J380,0)</f>
        <v>0</v>
      </c>
      <c r="AD380" s="37">
        <v>21</v>
      </c>
      <c r="AE380" s="37">
        <f>G380*0.496526850120224</f>
        <v>0</v>
      </c>
      <c r="AF380" s="37">
        <f>G380*(1-0.496526850120224)</f>
        <v>0</v>
      </c>
      <c r="AG380" s="32" t="s">
        <v>13</v>
      </c>
      <c r="AM380" s="37">
        <f>F380*AE380</f>
        <v>0</v>
      </c>
      <c r="AN380" s="37">
        <f>F380*AF380</f>
        <v>0</v>
      </c>
      <c r="AO380" s="38" t="s">
        <v>902</v>
      </c>
      <c r="AP380" s="38" t="s">
        <v>924</v>
      </c>
      <c r="AQ380" s="29" t="s">
        <v>926</v>
      </c>
      <c r="AS380" s="37">
        <f>AM380+AN380</f>
        <v>0</v>
      </c>
      <c r="AT380" s="37">
        <f>G380/(100-AU380)*100</f>
        <v>0</v>
      </c>
      <c r="AU380" s="37">
        <v>0</v>
      </c>
      <c r="AV380" s="37">
        <f>L380</f>
        <v>0.000756</v>
      </c>
    </row>
    <row r="381" spans="4:6" ht="12.75">
      <c r="D381" s="15" t="s">
        <v>778</v>
      </c>
      <c r="F381" s="20">
        <v>3.6</v>
      </c>
    </row>
    <row r="382" spans="1:48" ht="12.75">
      <c r="A382" s="4" t="s">
        <v>185</v>
      </c>
      <c r="B382" s="4"/>
      <c r="C382" s="4" t="s">
        <v>401</v>
      </c>
      <c r="D382" s="4" t="s">
        <v>779</v>
      </c>
      <c r="E382" s="4" t="s">
        <v>841</v>
      </c>
      <c r="F382" s="19">
        <v>3.6</v>
      </c>
      <c r="G382" s="19">
        <v>0</v>
      </c>
      <c r="H382" s="19">
        <f>F382*AE382</f>
        <v>0</v>
      </c>
      <c r="I382" s="19">
        <f>J382-H382</f>
        <v>0</v>
      </c>
      <c r="J382" s="19">
        <f>F382*G382</f>
        <v>0</v>
      </c>
      <c r="K382" s="19">
        <v>0</v>
      </c>
      <c r="L382" s="19">
        <f>F382*K382</f>
        <v>0</v>
      </c>
      <c r="M382" s="32" t="s">
        <v>863</v>
      </c>
      <c r="P382" s="37">
        <f>IF(AG382="5",J382,0)</f>
        <v>0</v>
      </c>
      <c r="R382" s="37">
        <f>IF(AG382="1",H382,0)</f>
        <v>0</v>
      </c>
      <c r="S382" s="37">
        <f>IF(AG382="1",I382,0)</f>
        <v>0</v>
      </c>
      <c r="T382" s="37">
        <f>IF(AG382="7",H382,0)</f>
        <v>0</v>
      </c>
      <c r="U382" s="37">
        <f>IF(AG382="7",I382,0)</f>
        <v>0</v>
      </c>
      <c r="V382" s="37">
        <f>IF(AG382="2",H382,0)</f>
        <v>0</v>
      </c>
      <c r="W382" s="37">
        <f>IF(AG382="2",I382,0)</f>
        <v>0</v>
      </c>
      <c r="X382" s="37">
        <f>IF(AG382="0",J382,0)</f>
        <v>0</v>
      </c>
      <c r="Y382" s="29"/>
      <c r="Z382" s="19">
        <f>IF(AD382=0,J382,0)</f>
        <v>0</v>
      </c>
      <c r="AA382" s="19">
        <f>IF(AD382=15,J382,0)</f>
        <v>0</v>
      </c>
      <c r="AB382" s="19">
        <f>IF(AD382=21,J382,0)</f>
        <v>0</v>
      </c>
      <c r="AD382" s="37">
        <v>21</v>
      </c>
      <c r="AE382" s="37">
        <f>G382*0</f>
        <v>0</v>
      </c>
      <c r="AF382" s="37">
        <f>G382*(1-0)</f>
        <v>0</v>
      </c>
      <c r="AG382" s="32" t="s">
        <v>13</v>
      </c>
      <c r="AM382" s="37">
        <f>F382*AE382</f>
        <v>0</v>
      </c>
      <c r="AN382" s="37">
        <f>F382*AF382</f>
        <v>0</v>
      </c>
      <c r="AO382" s="38" t="s">
        <v>902</v>
      </c>
      <c r="AP382" s="38" t="s">
        <v>924</v>
      </c>
      <c r="AQ382" s="29" t="s">
        <v>926</v>
      </c>
      <c r="AS382" s="37">
        <f>AM382+AN382</f>
        <v>0</v>
      </c>
      <c r="AT382" s="37">
        <f>G382/(100-AU382)*100</f>
        <v>0</v>
      </c>
      <c r="AU382" s="37">
        <v>0</v>
      </c>
      <c r="AV382" s="37">
        <f>L382</f>
        <v>0</v>
      </c>
    </row>
    <row r="383" spans="4:6" ht="12.75">
      <c r="D383" s="15" t="s">
        <v>780</v>
      </c>
      <c r="F383" s="20">
        <v>3.6</v>
      </c>
    </row>
    <row r="384" spans="1:48" ht="12.75">
      <c r="A384" s="6" t="s">
        <v>186</v>
      </c>
      <c r="B384" s="6"/>
      <c r="C384" s="6" t="s">
        <v>402</v>
      </c>
      <c r="D384" s="6" t="s">
        <v>781</v>
      </c>
      <c r="E384" s="6" t="s">
        <v>841</v>
      </c>
      <c r="F384" s="21">
        <v>13.61</v>
      </c>
      <c r="G384" s="21">
        <v>0</v>
      </c>
      <c r="H384" s="21">
        <f>F384*AE384</f>
        <v>0</v>
      </c>
      <c r="I384" s="21">
        <f>J384-H384</f>
        <v>0</v>
      </c>
      <c r="J384" s="21">
        <f>F384*G384</f>
        <v>0</v>
      </c>
      <c r="K384" s="21">
        <v>0.0105</v>
      </c>
      <c r="L384" s="21">
        <f>F384*K384</f>
        <v>0.142905</v>
      </c>
      <c r="M384" s="33" t="s">
        <v>863</v>
      </c>
      <c r="P384" s="37">
        <f>IF(AG384="5",J384,0)</f>
        <v>0</v>
      </c>
      <c r="R384" s="37">
        <f>IF(AG384="1",H384,0)</f>
        <v>0</v>
      </c>
      <c r="S384" s="37">
        <f>IF(AG384="1",I384,0)</f>
        <v>0</v>
      </c>
      <c r="T384" s="37">
        <f>IF(AG384="7",H384,0)</f>
        <v>0</v>
      </c>
      <c r="U384" s="37">
        <f>IF(AG384="7",I384,0)</f>
        <v>0</v>
      </c>
      <c r="V384" s="37">
        <f>IF(AG384="2",H384,0)</f>
        <v>0</v>
      </c>
      <c r="W384" s="37">
        <f>IF(AG384="2",I384,0)</f>
        <v>0</v>
      </c>
      <c r="X384" s="37">
        <f>IF(AG384="0",J384,0)</f>
        <v>0</v>
      </c>
      <c r="Y384" s="29"/>
      <c r="Z384" s="21">
        <f>IF(AD384=0,J384,0)</f>
        <v>0</v>
      </c>
      <c r="AA384" s="21">
        <f>IF(AD384=15,J384,0)</f>
        <v>0</v>
      </c>
      <c r="AB384" s="21">
        <f>IF(AD384=21,J384,0)</f>
        <v>0</v>
      </c>
      <c r="AD384" s="37">
        <v>21</v>
      </c>
      <c r="AE384" s="37">
        <f>G384*1</f>
        <v>0</v>
      </c>
      <c r="AF384" s="37">
        <f>G384*(1-1)</f>
        <v>0</v>
      </c>
      <c r="AG384" s="33" t="s">
        <v>13</v>
      </c>
      <c r="AM384" s="37">
        <f>F384*AE384</f>
        <v>0</v>
      </c>
      <c r="AN384" s="37">
        <f>F384*AF384</f>
        <v>0</v>
      </c>
      <c r="AO384" s="38" t="s">
        <v>902</v>
      </c>
      <c r="AP384" s="38" t="s">
        <v>924</v>
      </c>
      <c r="AQ384" s="29" t="s">
        <v>926</v>
      </c>
      <c r="AS384" s="37">
        <f>AM384+AN384</f>
        <v>0</v>
      </c>
      <c r="AT384" s="37">
        <f>G384/(100-AU384)*100</f>
        <v>0</v>
      </c>
      <c r="AU384" s="37">
        <v>0</v>
      </c>
      <c r="AV384" s="37">
        <f>L384</f>
        <v>0.142905</v>
      </c>
    </row>
    <row r="385" spans="4:6" ht="12.75">
      <c r="D385" s="15" t="s">
        <v>780</v>
      </c>
      <c r="F385" s="20">
        <v>3.6</v>
      </c>
    </row>
    <row r="386" spans="4:6" ht="12.75">
      <c r="D386" s="15" t="s">
        <v>782</v>
      </c>
      <c r="F386" s="20">
        <v>0.18</v>
      </c>
    </row>
    <row r="387" spans="1:48" ht="12.75">
      <c r="A387" s="4" t="s">
        <v>187</v>
      </c>
      <c r="B387" s="4"/>
      <c r="C387" s="4" t="s">
        <v>403</v>
      </c>
      <c r="D387" s="4" t="s">
        <v>783</v>
      </c>
      <c r="E387" s="4" t="s">
        <v>840</v>
      </c>
      <c r="F387" s="19">
        <v>0.14</v>
      </c>
      <c r="G387" s="19">
        <v>0</v>
      </c>
      <c r="H387" s="19">
        <f>F387*AE387</f>
        <v>0</v>
      </c>
      <c r="I387" s="19">
        <f>J387-H387</f>
        <v>0</v>
      </c>
      <c r="J387" s="19">
        <f>F387*G387</f>
        <v>0</v>
      </c>
      <c r="K387" s="19">
        <v>0</v>
      </c>
      <c r="L387" s="19">
        <f>F387*K387</f>
        <v>0</v>
      </c>
      <c r="M387" s="32" t="s">
        <v>863</v>
      </c>
      <c r="P387" s="37">
        <f>IF(AG387="5",J387,0)</f>
        <v>0</v>
      </c>
      <c r="R387" s="37">
        <f>IF(AG387="1",H387,0)</f>
        <v>0</v>
      </c>
      <c r="S387" s="37">
        <f>IF(AG387="1",I387,0)</f>
        <v>0</v>
      </c>
      <c r="T387" s="37">
        <f>IF(AG387="7",H387,0)</f>
        <v>0</v>
      </c>
      <c r="U387" s="37">
        <f>IF(AG387="7",I387,0)</f>
        <v>0</v>
      </c>
      <c r="V387" s="37">
        <f>IF(AG387="2",H387,0)</f>
        <v>0</v>
      </c>
      <c r="W387" s="37">
        <f>IF(AG387="2",I387,0)</f>
        <v>0</v>
      </c>
      <c r="X387" s="37">
        <f>IF(AG387="0",J387,0)</f>
        <v>0</v>
      </c>
      <c r="Y387" s="29"/>
      <c r="Z387" s="19">
        <f>IF(AD387=0,J387,0)</f>
        <v>0</v>
      </c>
      <c r="AA387" s="19">
        <f>IF(AD387=15,J387,0)</f>
        <v>0</v>
      </c>
      <c r="AB387" s="19">
        <f>IF(AD387=21,J387,0)</f>
        <v>0</v>
      </c>
      <c r="AD387" s="37">
        <v>21</v>
      </c>
      <c r="AE387" s="37">
        <f>G387*0</f>
        <v>0</v>
      </c>
      <c r="AF387" s="37">
        <f>G387*(1-0)</f>
        <v>0</v>
      </c>
      <c r="AG387" s="32" t="s">
        <v>11</v>
      </c>
      <c r="AM387" s="37">
        <f>F387*AE387</f>
        <v>0</v>
      </c>
      <c r="AN387" s="37">
        <f>F387*AF387</f>
        <v>0</v>
      </c>
      <c r="AO387" s="38" t="s">
        <v>902</v>
      </c>
      <c r="AP387" s="38" t="s">
        <v>924</v>
      </c>
      <c r="AQ387" s="29" t="s">
        <v>926</v>
      </c>
      <c r="AS387" s="37">
        <f>AM387+AN387</f>
        <v>0</v>
      </c>
      <c r="AT387" s="37">
        <f>G387/(100-AU387)*100</f>
        <v>0</v>
      </c>
      <c r="AU387" s="37">
        <v>0</v>
      </c>
      <c r="AV387" s="37">
        <f>L387</f>
        <v>0</v>
      </c>
    </row>
    <row r="388" spans="1:37" ht="12.75">
      <c r="A388" s="5"/>
      <c r="B388" s="13"/>
      <c r="C388" s="13" t="s">
        <v>404</v>
      </c>
      <c r="D388" s="13" t="s">
        <v>784</v>
      </c>
      <c r="E388" s="5" t="s">
        <v>6</v>
      </c>
      <c r="F388" s="5" t="s">
        <v>6</v>
      </c>
      <c r="G388" s="5" t="s">
        <v>6</v>
      </c>
      <c r="H388" s="40">
        <f>SUM(H389:H392)</f>
        <v>0</v>
      </c>
      <c r="I388" s="40">
        <f>SUM(I389:I392)</f>
        <v>0</v>
      </c>
      <c r="J388" s="40">
        <f>H388+I388</f>
        <v>0</v>
      </c>
      <c r="K388" s="29"/>
      <c r="L388" s="40">
        <f>SUM(L389:L392)</f>
        <v>0.00152</v>
      </c>
      <c r="M388" s="29"/>
      <c r="Y388" s="29"/>
      <c r="AI388" s="40">
        <f>SUM(Z389:Z392)</f>
        <v>0</v>
      </c>
      <c r="AJ388" s="40">
        <f>SUM(AA389:AA392)</f>
        <v>0</v>
      </c>
      <c r="AK388" s="40">
        <f>SUM(AB389:AB392)</f>
        <v>0</v>
      </c>
    </row>
    <row r="389" spans="1:48" ht="12.75">
      <c r="A389" s="4" t="s">
        <v>188</v>
      </c>
      <c r="B389" s="4"/>
      <c r="C389" s="4" t="s">
        <v>405</v>
      </c>
      <c r="D389" s="4" t="s">
        <v>785</v>
      </c>
      <c r="E389" s="4" t="s">
        <v>841</v>
      </c>
      <c r="F389" s="19">
        <v>4.75</v>
      </c>
      <c r="G389" s="19">
        <v>0</v>
      </c>
      <c r="H389" s="19">
        <f>F389*AE389</f>
        <v>0</v>
      </c>
      <c r="I389" s="19">
        <f>J389-H389</f>
        <v>0</v>
      </c>
      <c r="J389" s="19">
        <f>F389*G389</f>
        <v>0</v>
      </c>
      <c r="K389" s="19">
        <v>0.00024</v>
      </c>
      <c r="L389" s="19">
        <f>F389*K389</f>
        <v>0.00114</v>
      </c>
      <c r="M389" s="32" t="s">
        <v>863</v>
      </c>
      <c r="P389" s="37">
        <f>IF(AG389="5",J389,0)</f>
        <v>0</v>
      </c>
      <c r="R389" s="37">
        <f>IF(AG389="1",H389,0)</f>
        <v>0</v>
      </c>
      <c r="S389" s="37">
        <f>IF(AG389="1",I389,0)</f>
        <v>0</v>
      </c>
      <c r="T389" s="37">
        <f>IF(AG389="7",H389,0)</f>
        <v>0</v>
      </c>
      <c r="U389" s="37">
        <f>IF(AG389="7",I389,0)</f>
        <v>0</v>
      </c>
      <c r="V389" s="37">
        <f>IF(AG389="2",H389,0)</f>
        <v>0</v>
      </c>
      <c r="W389" s="37">
        <f>IF(AG389="2",I389,0)</f>
        <v>0</v>
      </c>
      <c r="X389" s="37">
        <f>IF(AG389="0",J389,0)</f>
        <v>0</v>
      </c>
      <c r="Y389" s="29"/>
      <c r="Z389" s="19">
        <f>IF(AD389=0,J389,0)</f>
        <v>0</v>
      </c>
      <c r="AA389" s="19">
        <f>IF(AD389=15,J389,0)</f>
        <v>0</v>
      </c>
      <c r="AB389" s="19">
        <f>IF(AD389=21,J389,0)</f>
        <v>0</v>
      </c>
      <c r="AD389" s="37">
        <v>21</v>
      </c>
      <c r="AE389" s="37">
        <f>G389*0.170779332582019</f>
        <v>0</v>
      </c>
      <c r="AF389" s="37">
        <f>G389*(1-0.170779332582019)</f>
        <v>0</v>
      </c>
      <c r="AG389" s="32" t="s">
        <v>13</v>
      </c>
      <c r="AM389" s="37">
        <f>F389*AE389</f>
        <v>0</v>
      </c>
      <c r="AN389" s="37">
        <f>F389*AF389</f>
        <v>0</v>
      </c>
      <c r="AO389" s="38" t="s">
        <v>903</v>
      </c>
      <c r="AP389" s="38" t="s">
        <v>924</v>
      </c>
      <c r="AQ389" s="29" t="s">
        <v>926</v>
      </c>
      <c r="AS389" s="37">
        <f>AM389+AN389</f>
        <v>0</v>
      </c>
      <c r="AT389" s="37">
        <f>G389/(100-AU389)*100</f>
        <v>0</v>
      </c>
      <c r="AU389" s="37">
        <v>0</v>
      </c>
      <c r="AV389" s="37">
        <f>L389</f>
        <v>0.00114</v>
      </c>
    </row>
    <row r="390" spans="4:6" ht="12.75">
      <c r="D390" s="15" t="s">
        <v>786</v>
      </c>
      <c r="F390" s="20">
        <v>1.48</v>
      </c>
    </row>
    <row r="391" spans="4:6" ht="12.75">
      <c r="D391" s="15" t="s">
        <v>787</v>
      </c>
      <c r="F391" s="20">
        <v>3.27</v>
      </c>
    </row>
    <row r="392" spans="1:48" ht="12.75">
      <c r="A392" s="4" t="s">
        <v>189</v>
      </c>
      <c r="B392" s="4"/>
      <c r="C392" s="4" t="s">
        <v>406</v>
      </c>
      <c r="D392" s="4" t="s">
        <v>788</v>
      </c>
      <c r="E392" s="4" t="s">
        <v>841</v>
      </c>
      <c r="F392" s="19">
        <v>4.75</v>
      </c>
      <c r="G392" s="19">
        <v>0</v>
      </c>
      <c r="H392" s="19">
        <f>F392*AE392</f>
        <v>0</v>
      </c>
      <c r="I392" s="19">
        <f>J392-H392</f>
        <v>0</v>
      </c>
      <c r="J392" s="19">
        <f>F392*G392</f>
        <v>0</v>
      </c>
      <c r="K392" s="19">
        <v>8E-05</v>
      </c>
      <c r="L392" s="19">
        <f>F392*K392</f>
        <v>0.00038</v>
      </c>
      <c r="M392" s="32" t="s">
        <v>863</v>
      </c>
      <c r="P392" s="37">
        <f>IF(AG392="5",J392,0)</f>
        <v>0</v>
      </c>
      <c r="R392" s="37">
        <f>IF(AG392="1",H392,0)</f>
        <v>0</v>
      </c>
      <c r="S392" s="37">
        <f>IF(AG392="1",I392,0)</f>
        <v>0</v>
      </c>
      <c r="T392" s="37">
        <f>IF(AG392="7",H392,0)</f>
        <v>0</v>
      </c>
      <c r="U392" s="37">
        <f>IF(AG392="7",I392,0)</f>
        <v>0</v>
      </c>
      <c r="V392" s="37">
        <f>IF(AG392="2",H392,0)</f>
        <v>0</v>
      </c>
      <c r="W392" s="37">
        <f>IF(AG392="2",I392,0)</f>
        <v>0</v>
      </c>
      <c r="X392" s="37">
        <f>IF(AG392="0",J392,0)</f>
        <v>0</v>
      </c>
      <c r="Y392" s="29"/>
      <c r="Z392" s="19">
        <f>IF(AD392=0,J392,0)</f>
        <v>0</v>
      </c>
      <c r="AA392" s="19">
        <f>IF(AD392=15,J392,0)</f>
        <v>0</v>
      </c>
      <c r="AB392" s="19">
        <f>IF(AD392=21,J392,0)</f>
        <v>0</v>
      </c>
      <c r="AD392" s="37">
        <v>21</v>
      </c>
      <c r="AE392" s="37">
        <f>G392*0.132343234323432</f>
        <v>0</v>
      </c>
      <c r="AF392" s="37">
        <f>G392*(1-0.132343234323432)</f>
        <v>0</v>
      </c>
      <c r="AG392" s="32" t="s">
        <v>13</v>
      </c>
      <c r="AM392" s="37">
        <f>F392*AE392</f>
        <v>0</v>
      </c>
      <c r="AN392" s="37">
        <f>F392*AF392</f>
        <v>0</v>
      </c>
      <c r="AO392" s="38" t="s">
        <v>903</v>
      </c>
      <c r="AP392" s="38" t="s">
        <v>924</v>
      </c>
      <c r="AQ392" s="29" t="s">
        <v>926</v>
      </c>
      <c r="AS392" s="37">
        <f>AM392+AN392</f>
        <v>0</v>
      </c>
      <c r="AT392" s="37">
        <f>G392/(100-AU392)*100</f>
        <v>0</v>
      </c>
      <c r="AU392" s="37">
        <v>0</v>
      </c>
      <c r="AV392" s="37">
        <f>L392</f>
        <v>0.00038</v>
      </c>
    </row>
    <row r="393" spans="1:37" ht="12.75">
      <c r="A393" s="5"/>
      <c r="B393" s="13"/>
      <c r="C393" s="13" t="s">
        <v>407</v>
      </c>
      <c r="D393" s="13" t="s">
        <v>789</v>
      </c>
      <c r="E393" s="5" t="s">
        <v>6</v>
      </c>
      <c r="F393" s="5" t="s">
        <v>6</v>
      </c>
      <c r="G393" s="5" t="s">
        <v>6</v>
      </c>
      <c r="H393" s="40">
        <f>SUM(H394:H404)</f>
        <v>0</v>
      </c>
      <c r="I393" s="40">
        <f>SUM(I394:I404)</f>
        <v>0</v>
      </c>
      <c r="J393" s="40">
        <f>H393+I393</f>
        <v>0</v>
      </c>
      <c r="K393" s="29"/>
      <c r="L393" s="40">
        <f>SUM(L394:L404)</f>
        <v>0.009510300000000001</v>
      </c>
      <c r="M393" s="29"/>
      <c r="Y393" s="29"/>
      <c r="AI393" s="40">
        <f>SUM(Z394:Z404)</f>
        <v>0</v>
      </c>
      <c r="AJ393" s="40">
        <f>SUM(AA394:AA404)</f>
        <v>0</v>
      </c>
      <c r="AK393" s="40">
        <f>SUM(AB394:AB404)</f>
        <v>0</v>
      </c>
    </row>
    <row r="394" spans="1:48" ht="12.75">
      <c r="A394" s="4" t="s">
        <v>190</v>
      </c>
      <c r="B394" s="4"/>
      <c r="C394" s="4" t="s">
        <v>408</v>
      </c>
      <c r="D394" s="4" t="s">
        <v>790</v>
      </c>
      <c r="E394" s="4" t="s">
        <v>841</v>
      </c>
      <c r="F394" s="19">
        <v>32.89</v>
      </c>
      <c r="G394" s="19">
        <v>0</v>
      </c>
      <c r="H394" s="19">
        <f>F394*AE394</f>
        <v>0</v>
      </c>
      <c r="I394" s="19">
        <f>J394-H394</f>
        <v>0</v>
      </c>
      <c r="J394" s="19">
        <f>F394*G394</f>
        <v>0</v>
      </c>
      <c r="K394" s="19">
        <v>0.00027</v>
      </c>
      <c r="L394" s="19">
        <f>F394*K394</f>
        <v>0.0088803</v>
      </c>
      <c r="M394" s="32" t="s">
        <v>863</v>
      </c>
      <c r="P394" s="37">
        <f>IF(AG394="5",J394,0)</f>
        <v>0</v>
      </c>
      <c r="R394" s="37">
        <f>IF(AG394="1",H394,0)</f>
        <v>0</v>
      </c>
      <c r="S394" s="37">
        <f>IF(AG394="1",I394,0)</f>
        <v>0</v>
      </c>
      <c r="T394" s="37">
        <f>IF(AG394="7",H394,0)</f>
        <v>0</v>
      </c>
      <c r="U394" s="37">
        <f>IF(AG394="7",I394,0)</f>
        <v>0</v>
      </c>
      <c r="V394" s="37">
        <f>IF(AG394="2",H394,0)</f>
        <v>0</v>
      </c>
      <c r="W394" s="37">
        <f>IF(AG394="2",I394,0)</f>
        <v>0</v>
      </c>
      <c r="X394" s="37">
        <f>IF(AG394="0",J394,0)</f>
        <v>0</v>
      </c>
      <c r="Y394" s="29"/>
      <c r="Z394" s="19">
        <f>IF(AD394=0,J394,0)</f>
        <v>0</v>
      </c>
      <c r="AA394" s="19">
        <f>IF(AD394=15,J394,0)</f>
        <v>0</v>
      </c>
      <c r="AB394" s="19">
        <f>IF(AD394=21,J394,0)</f>
        <v>0</v>
      </c>
      <c r="AD394" s="37">
        <v>21</v>
      </c>
      <c r="AE394" s="37">
        <f>G394*0.0711868075238341</f>
        <v>0</v>
      </c>
      <c r="AF394" s="37">
        <f>G394*(1-0.0711868075238341)</f>
        <v>0</v>
      </c>
      <c r="AG394" s="32" t="s">
        <v>13</v>
      </c>
      <c r="AM394" s="37">
        <f>F394*AE394</f>
        <v>0</v>
      </c>
      <c r="AN394" s="37">
        <f>F394*AF394</f>
        <v>0</v>
      </c>
      <c r="AO394" s="38" t="s">
        <v>904</v>
      </c>
      <c r="AP394" s="38" t="s">
        <v>924</v>
      </c>
      <c r="AQ394" s="29" t="s">
        <v>926</v>
      </c>
      <c r="AS394" s="37">
        <f>AM394+AN394</f>
        <v>0</v>
      </c>
      <c r="AT394" s="37">
        <f>G394/(100-AU394)*100</f>
        <v>0</v>
      </c>
      <c r="AU394" s="37">
        <v>0</v>
      </c>
      <c r="AV394" s="37">
        <f>L394</f>
        <v>0.0088803</v>
      </c>
    </row>
    <row r="395" spans="4:6" ht="12.75">
      <c r="D395" s="15" t="s">
        <v>582</v>
      </c>
      <c r="F395" s="20">
        <v>17.66</v>
      </c>
    </row>
    <row r="396" spans="4:6" ht="12.75">
      <c r="D396" s="15" t="s">
        <v>583</v>
      </c>
      <c r="F396" s="20">
        <v>-4.11</v>
      </c>
    </row>
    <row r="397" spans="4:6" ht="12.75">
      <c r="D397" s="15" t="s">
        <v>584</v>
      </c>
      <c r="F397" s="20">
        <v>2.91</v>
      </c>
    </row>
    <row r="398" spans="4:6" ht="12.75">
      <c r="D398" s="15" t="s">
        <v>585</v>
      </c>
      <c r="F398" s="20">
        <v>17.95</v>
      </c>
    </row>
    <row r="399" spans="4:6" ht="12.75">
      <c r="D399" s="15" t="s">
        <v>586</v>
      </c>
      <c r="F399" s="20">
        <v>-8.85</v>
      </c>
    </row>
    <row r="400" spans="4:6" ht="12.75">
      <c r="D400" s="15" t="s">
        <v>587</v>
      </c>
      <c r="F400" s="20">
        <v>2.58</v>
      </c>
    </row>
    <row r="401" spans="4:6" ht="12.75">
      <c r="D401" s="15" t="s">
        <v>791</v>
      </c>
      <c r="F401" s="20">
        <v>8.35</v>
      </c>
    </row>
    <row r="402" spans="4:6" ht="12.75">
      <c r="D402" s="15" t="s">
        <v>792</v>
      </c>
      <c r="F402" s="20">
        <v>-3.6</v>
      </c>
    </row>
    <row r="403" spans="1:48" ht="12.75">
      <c r="A403" s="4" t="s">
        <v>191</v>
      </c>
      <c r="B403" s="4"/>
      <c r="C403" s="4" t="s">
        <v>409</v>
      </c>
      <c r="D403" s="4" t="s">
        <v>793</v>
      </c>
      <c r="E403" s="4" t="s">
        <v>841</v>
      </c>
      <c r="F403" s="19">
        <v>1</v>
      </c>
      <c r="G403" s="19">
        <v>0</v>
      </c>
      <c r="H403" s="19">
        <f>F403*AE403</f>
        <v>0</v>
      </c>
      <c r="I403" s="19">
        <f>J403-H403</f>
        <v>0</v>
      </c>
      <c r="J403" s="19">
        <f>F403*G403</f>
        <v>0</v>
      </c>
      <c r="K403" s="19">
        <v>0.00046</v>
      </c>
      <c r="L403" s="19">
        <f>F403*K403</f>
        <v>0.00046</v>
      </c>
      <c r="M403" s="32" t="s">
        <v>863</v>
      </c>
      <c r="P403" s="37">
        <f>IF(AG403="5",J403,0)</f>
        <v>0</v>
      </c>
      <c r="R403" s="37">
        <f>IF(AG403="1",H403,0)</f>
        <v>0</v>
      </c>
      <c r="S403" s="37">
        <f>IF(AG403="1",I403,0)</f>
        <v>0</v>
      </c>
      <c r="T403" s="37">
        <f>IF(AG403="7",H403,0)</f>
        <v>0</v>
      </c>
      <c r="U403" s="37">
        <f>IF(AG403="7",I403,0)</f>
        <v>0</v>
      </c>
      <c r="V403" s="37">
        <f>IF(AG403="2",H403,0)</f>
        <v>0</v>
      </c>
      <c r="W403" s="37">
        <f>IF(AG403="2",I403,0)</f>
        <v>0</v>
      </c>
      <c r="X403" s="37">
        <f>IF(AG403="0",J403,0)</f>
        <v>0</v>
      </c>
      <c r="Y403" s="29"/>
      <c r="Z403" s="19">
        <f>IF(AD403=0,J403,0)</f>
        <v>0</v>
      </c>
      <c r="AA403" s="19">
        <f>IF(AD403=15,J403,0)</f>
        <v>0</v>
      </c>
      <c r="AB403" s="19">
        <f>IF(AD403=21,J403,0)</f>
        <v>0</v>
      </c>
      <c r="AD403" s="37">
        <v>21</v>
      </c>
      <c r="AE403" s="37">
        <f>G403*0.233088235294118</f>
        <v>0</v>
      </c>
      <c r="AF403" s="37">
        <f>G403*(1-0.233088235294118)</f>
        <v>0</v>
      </c>
      <c r="AG403" s="32" t="s">
        <v>13</v>
      </c>
      <c r="AM403" s="37">
        <f>F403*AE403</f>
        <v>0</v>
      </c>
      <c r="AN403" s="37">
        <f>F403*AF403</f>
        <v>0</v>
      </c>
      <c r="AO403" s="38" t="s">
        <v>904</v>
      </c>
      <c r="AP403" s="38" t="s">
        <v>924</v>
      </c>
      <c r="AQ403" s="29" t="s">
        <v>926</v>
      </c>
      <c r="AS403" s="37">
        <f>AM403+AN403</f>
        <v>0</v>
      </c>
      <c r="AT403" s="37">
        <f>G403/(100-AU403)*100</f>
        <v>0</v>
      </c>
      <c r="AU403" s="37">
        <v>0</v>
      </c>
      <c r="AV403" s="37">
        <f>L403</f>
        <v>0.00046</v>
      </c>
    </row>
    <row r="404" spans="1:48" ht="12.75">
      <c r="A404" s="4" t="s">
        <v>192</v>
      </c>
      <c r="B404" s="4"/>
      <c r="C404" s="4" t="s">
        <v>410</v>
      </c>
      <c r="D404" s="4" t="s">
        <v>794</v>
      </c>
      <c r="E404" s="4" t="s">
        <v>841</v>
      </c>
      <c r="F404" s="19">
        <v>1</v>
      </c>
      <c r="G404" s="19">
        <v>0</v>
      </c>
      <c r="H404" s="19">
        <f>F404*AE404</f>
        <v>0</v>
      </c>
      <c r="I404" s="19">
        <f>J404-H404</f>
        <v>0</v>
      </c>
      <c r="J404" s="19">
        <f>F404*G404</f>
        <v>0</v>
      </c>
      <c r="K404" s="19">
        <v>0.00017</v>
      </c>
      <c r="L404" s="19">
        <f>F404*K404</f>
        <v>0.00017</v>
      </c>
      <c r="M404" s="32" t="s">
        <v>863</v>
      </c>
      <c r="P404" s="37">
        <f>IF(AG404="5",J404,0)</f>
        <v>0</v>
      </c>
      <c r="R404" s="37">
        <f>IF(AG404="1",H404,0)</f>
        <v>0</v>
      </c>
      <c r="S404" s="37">
        <f>IF(AG404="1",I404,0)</f>
        <v>0</v>
      </c>
      <c r="T404" s="37">
        <f>IF(AG404="7",H404,0)</f>
        <v>0</v>
      </c>
      <c r="U404" s="37">
        <f>IF(AG404="7",I404,0)</f>
        <v>0</v>
      </c>
      <c r="V404" s="37">
        <f>IF(AG404="2",H404,0)</f>
        <v>0</v>
      </c>
      <c r="W404" s="37">
        <f>IF(AG404="2",I404,0)</f>
        <v>0</v>
      </c>
      <c r="X404" s="37">
        <f>IF(AG404="0",J404,0)</f>
        <v>0</v>
      </c>
      <c r="Y404" s="29"/>
      <c r="Z404" s="19">
        <f>IF(AD404=0,J404,0)</f>
        <v>0</v>
      </c>
      <c r="AA404" s="19">
        <f>IF(AD404=15,J404,0)</f>
        <v>0</v>
      </c>
      <c r="AB404" s="19">
        <f>IF(AD404=21,J404,0)</f>
        <v>0</v>
      </c>
      <c r="AD404" s="37">
        <v>21</v>
      </c>
      <c r="AE404" s="37">
        <f>G404*0.262777777777778</f>
        <v>0</v>
      </c>
      <c r="AF404" s="37">
        <f>G404*(1-0.262777777777778)</f>
        <v>0</v>
      </c>
      <c r="AG404" s="32" t="s">
        <v>13</v>
      </c>
      <c r="AM404" s="37">
        <f>F404*AE404</f>
        <v>0</v>
      </c>
      <c r="AN404" s="37">
        <f>F404*AF404</f>
        <v>0</v>
      </c>
      <c r="AO404" s="38" t="s">
        <v>904</v>
      </c>
      <c r="AP404" s="38" t="s">
        <v>924</v>
      </c>
      <c r="AQ404" s="29" t="s">
        <v>926</v>
      </c>
      <c r="AS404" s="37">
        <f>AM404+AN404</f>
        <v>0</v>
      </c>
      <c r="AT404" s="37">
        <f>G404/(100-AU404)*100</f>
        <v>0</v>
      </c>
      <c r="AU404" s="37">
        <v>0</v>
      </c>
      <c r="AV404" s="37">
        <f>L404</f>
        <v>0.00017</v>
      </c>
    </row>
    <row r="405" spans="1:37" ht="12.75">
      <c r="A405" s="5"/>
      <c r="B405" s="13"/>
      <c r="C405" s="13" t="s">
        <v>411</v>
      </c>
      <c r="D405" s="13" t="s">
        <v>795</v>
      </c>
      <c r="E405" s="5" t="s">
        <v>6</v>
      </c>
      <c r="F405" s="5" t="s">
        <v>6</v>
      </c>
      <c r="G405" s="5" t="s">
        <v>6</v>
      </c>
      <c r="H405" s="40">
        <f>SUM(H406:H406)</f>
        <v>0</v>
      </c>
      <c r="I405" s="40">
        <f>SUM(I406:I406)</f>
        <v>0</v>
      </c>
      <c r="J405" s="40">
        <f>H405+I405</f>
        <v>0</v>
      </c>
      <c r="K405" s="29"/>
      <c r="L405" s="40">
        <f>SUM(L406:L406)</f>
        <v>0</v>
      </c>
      <c r="M405" s="29"/>
      <c r="Y405" s="29"/>
      <c r="AI405" s="40">
        <f>SUM(Z406:Z406)</f>
        <v>0</v>
      </c>
      <c r="AJ405" s="40">
        <f>SUM(AA406:AA406)</f>
        <v>0</v>
      </c>
      <c r="AK405" s="40">
        <f>SUM(AB406:AB406)</f>
        <v>0</v>
      </c>
    </row>
    <row r="406" spans="1:48" ht="12.75">
      <c r="A406" s="4" t="s">
        <v>193</v>
      </c>
      <c r="B406" s="4"/>
      <c r="C406" s="4" t="s">
        <v>412</v>
      </c>
      <c r="D406" s="4" t="s">
        <v>796</v>
      </c>
      <c r="E406" s="4" t="s">
        <v>846</v>
      </c>
      <c r="F406" s="19">
        <v>1</v>
      </c>
      <c r="G406" s="19">
        <f>'titul elektro'!F30</f>
        <v>0</v>
      </c>
      <c r="H406" s="19">
        <f>F406*AE406</f>
        <v>0</v>
      </c>
      <c r="I406" s="19">
        <f>J406-H406</f>
        <v>0</v>
      </c>
      <c r="J406" s="19">
        <f>F406*G406</f>
        <v>0</v>
      </c>
      <c r="K406" s="19">
        <v>0</v>
      </c>
      <c r="L406" s="19">
        <f>F406*K406</f>
        <v>0</v>
      </c>
      <c r="M406" s="32" t="s">
        <v>863</v>
      </c>
      <c r="P406" s="37">
        <f>IF(AG406="5",J406,0)</f>
        <v>0</v>
      </c>
      <c r="R406" s="37">
        <f>IF(AG406="1",H406,0)</f>
        <v>0</v>
      </c>
      <c r="S406" s="37">
        <f>IF(AG406="1",I406,0)</f>
        <v>0</v>
      </c>
      <c r="T406" s="37">
        <f>IF(AG406="7",H406,0)</f>
        <v>0</v>
      </c>
      <c r="U406" s="37">
        <f>IF(AG406="7",I406,0)</f>
        <v>0</v>
      </c>
      <c r="V406" s="37">
        <f>IF(AG406="2",H406,0)</f>
        <v>0</v>
      </c>
      <c r="W406" s="37">
        <f>IF(AG406="2",I406,0)</f>
        <v>0</v>
      </c>
      <c r="X406" s="37">
        <f>IF(AG406="0",J406,0)</f>
        <v>0</v>
      </c>
      <c r="Y406" s="29"/>
      <c r="Z406" s="19">
        <f>IF(AD406=0,J406,0)</f>
        <v>0</v>
      </c>
      <c r="AA406" s="19">
        <f>IF(AD406=15,J406,0)</f>
        <v>0</v>
      </c>
      <c r="AB406" s="19">
        <f>IF(AD406=21,J406,0)</f>
        <v>0</v>
      </c>
      <c r="AD406" s="37">
        <v>21</v>
      </c>
      <c r="AE406" s="37">
        <f>G406*0</f>
        <v>0</v>
      </c>
      <c r="AF406" s="37">
        <f>G406*(1-0)</f>
        <v>0</v>
      </c>
      <c r="AG406" s="32" t="s">
        <v>8</v>
      </c>
      <c r="AM406" s="37">
        <f>F406*AE406</f>
        <v>0</v>
      </c>
      <c r="AN406" s="37">
        <f>F406*AF406</f>
        <v>0</v>
      </c>
      <c r="AO406" s="38" t="s">
        <v>905</v>
      </c>
      <c r="AP406" s="38" t="s">
        <v>925</v>
      </c>
      <c r="AQ406" s="29" t="s">
        <v>926</v>
      </c>
      <c r="AS406" s="37">
        <f>AM406+AN406</f>
        <v>0</v>
      </c>
      <c r="AT406" s="37">
        <f>G406/(100-AU406)*100</f>
        <v>0</v>
      </c>
      <c r="AU406" s="37">
        <v>0</v>
      </c>
      <c r="AV406" s="37">
        <f>L406</f>
        <v>0</v>
      </c>
    </row>
    <row r="407" spans="4:6" ht="12.75">
      <c r="D407" s="15" t="s">
        <v>797</v>
      </c>
      <c r="F407" s="20">
        <v>1</v>
      </c>
    </row>
    <row r="408" spans="1:37" ht="12.75">
      <c r="A408" s="5"/>
      <c r="B408" s="13"/>
      <c r="C408" s="13" t="s">
        <v>97</v>
      </c>
      <c r="D408" s="13" t="s">
        <v>798</v>
      </c>
      <c r="E408" s="5" t="s">
        <v>6</v>
      </c>
      <c r="F408" s="5" t="s">
        <v>6</v>
      </c>
      <c r="G408" s="5" t="s">
        <v>6</v>
      </c>
      <c r="H408" s="40">
        <f>SUM(H409:H411)</f>
        <v>0</v>
      </c>
      <c r="I408" s="40">
        <f>SUM(I409:I411)</f>
        <v>0</v>
      </c>
      <c r="J408" s="40">
        <f>H408+I408</f>
        <v>0</v>
      </c>
      <c r="K408" s="29"/>
      <c r="L408" s="40">
        <f>SUM(L409:L411)</f>
        <v>1.09375</v>
      </c>
      <c r="M408" s="29"/>
      <c r="Y408" s="29"/>
      <c r="AI408" s="40">
        <f>SUM(Z409:Z411)</f>
        <v>0</v>
      </c>
      <c r="AJ408" s="40">
        <f>SUM(AA409:AA411)</f>
        <v>0</v>
      </c>
      <c r="AK408" s="40">
        <f>SUM(AB409:AB411)</f>
        <v>0</v>
      </c>
    </row>
    <row r="409" spans="1:48" ht="12.75">
      <c r="A409" s="4" t="s">
        <v>194</v>
      </c>
      <c r="B409" s="4"/>
      <c r="C409" s="4" t="s">
        <v>413</v>
      </c>
      <c r="D409" s="4" t="s">
        <v>799</v>
      </c>
      <c r="E409" s="4" t="s">
        <v>837</v>
      </c>
      <c r="F409" s="19">
        <v>8.3</v>
      </c>
      <c r="G409" s="19">
        <v>0</v>
      </c>
      <c r="H409" s="19">
        <f>F409*AE409</f>
        <v>0</v>
      </c>
      <c r="I409" s="19">
        <f>J409-H409</f>
        <v>0</v>
      </c>
      <c r="J409" s="19">
        <f>F409*G409</f>
        <v>0</v>
      </c>
      <c r="K409" s="19">
        <v>0.1025</v>
      </c>
      <c r="L409" s="19">
        <f>F409*K409</f>
        <v>0.85075</v>
      </c>
      <c r="M409" s="32" t="s">
        <v>863</v>
      </c>
      <c r="P409" s="37">
        <f>IF(AG409="5",J409,0)</f>
        <v>0</v>
      </c>
      <c r="R409" s="37">
        <f>IF(AG409="1",H409,0)</f>
        <v>0</v>
      </c>
      <c r="S409" s="37">
        <f>IF(AG409="1",I409,0)</f>
        <v>0</v>
      </c>
      <c r="T409" s="37">
        <f>IF(AG409="7",H409,0)</f>
        <v>0</v>
      </c>
      <c r="U409" s="37">
        <f>IF(AG409="7",I409,0)</f>
        <v>0</v>
      </c>
      <c r="V409" s="37">
        <f>IF(AG409="2",H409,0)</f>
        <v>0</v>
      </c>
      <c r="W409" s="37">
        <f>IF(AG409="2",I409,0)</f>
        <v>0</v>
      </c>
      <c r="X409" s="37">
        <f>IF(AG409="0",J409,0)</f>
        <v>0</v>
      </c>
      <c r="Y409" s="29"/>
      <c r="Z409" s="19">
        <f>IF(AD409=0,J409,0)</f>
        <v>0</v>
      </c>
      <c r="AA409" s="19">
        <f>IF(AD409=15,J409,0)</f>
        <v>0</v>
      </c>
      <c r="AB409" s="19">
        <f>IF(AD409=21,J409,0)</f>
        <v>0</v>
      </c>
      <c r="AD409" s="37">
        <v>21</v>
      </c>
      <c r="AE409" s="37">
        <f>G409*0.584419475655431</f>
        <v>0</v>
      </c>
      <c r="AF409" s="37">
        <f>G409*(1-0.584419475655431)</f>
        <v>0</v>
      </c>
      <c r="AG409" s="32" t="s">
        <v>7</v>
      </c>
      <c r="AM409" s="37">
        <f>F409*AE409</f>
        <v>0</v>
      </c>
      <c r="AN409" s="37">
        <f>F409*AF409</f>
        <v>0</v>
      </c>
      <c r="AO409" s="38" t="s">
        <v>906</v>
      </c>
      <c r="AP409" s="38" t="s">
        <v>925</v>
      </c>
      <c r="AQ409" s="29" t="s">
        <v>926</v>
      </c>
      <c r="AS409" s="37">
        <f>AM409+AN409</f>
        <v>0</v>
      </c>
      <c r="AT409" s="37">
        <f>G409/(100-AU409)*100</f>
        <v>0</v>
      </c>
      <c r="AU409" s="37">
        <v>0</v>
      </c>
      <c r="AV409" s="37">
        <f>L409</f>
        <v>0.85075</v>
      </c>
    </row>
    <row r="410" spans="4:6" ht="12.75">
      <c r="D410" s="15" t="s">
        <v>800</v>
      </c>
      <c r="F410" s="20">
        <v>8.3</v>
      </c>
    </row>
    <row r="411" spans="1:48" ht="12.75">
      <c r="A411" s="6" t="s">
        <v>195</v>
      </c>
      <c r="B411" s="6"/>
      <c r="C411" s="6" t="s">
        <v>414</v>
      </c>
      <c r="D411" s="6" t="s">
        <v>801</v>
      </c>
      <c r="E411" s="6" t="s">
        <v>839</v>
      </c>
      <c r="F411" s="21">
        <v>9</v>
      </c>
      <c r="G411" s="21">
        <v>0</v>
      </c>
      <c r="H411" s="21">
        <f>F411*AE411</f>
        <v>0</v>
      </c>
      <c r="I411" s="21">
        <f>J411-H411</f>
        <v>0</v>
      </c>
      <c r="J411" s="21">
        <f>F411*G411</f>
        <v>0</v>
      </c>
      <c r="K411" s="21">
        <v>0.027</v>
      </c>
      <c r="L411" s="21">
        <f>F411*K411</f>
        <v>0.243</v>
      </c>
      <c r="M411" s="33" t="s">
        <v>863</v>
      </c>
      <c r="P411" s="37">
        <f>IF(AG411="5",J411,0)</f>
        <v>0</v>
      </c>
      <c r="R411" s="37">
        <f>IF(AG411="1",H411,0)</f>
        <v>0</v>
      </c>
      <c r="S411" s="37">
        <f>IF(AG411="1",I411,0)</f>
        <v>0</v>
      </c>
      <c r="T411" s="37">
        <f>IF(AG411="7",H411,0)</f>
        <v>0</v>
      </c>
      <c r="U411" s="37">
        <f>IF(AG411="7",I411,0)</f>
        <v>0</v>
      </c>
      <c r="V411" s="37">
        <f>IF(AG411="2",H411,0)</f>
        <v>0</v>
      </c>
      <c r="W411" s="37">
        <f>IF(AG411="2",I411,0)</f>
        <v>0</v>
      </c>
      <c r="X411" s="37">
        <f>IF(AG411="0",J411,0)</f>
        <v>0</v>
      </c>
      <c r="Y411" s="29"/>
      <c r="Z411" s="21">
        <f>IF(AD411=0,J411,0)</f>
        <v>0</v>
      </c>
      <c r="AA411" s="21">
        <f>IF(AD411=15,J411,0)</f>
        <v>0</v>
      </c>
      <c r="AB411" s="21">
        <f>IF(AD411=21,J411,0)</f>
        <v>0</v>
      </c>
      <c r="AD411" s="37">
        <v>21</v>
      </c>
      <c r="AE411" s="37">
        <f>G411*1</f>
        <v>0</v>
      </c>
      <c r="AF411" s="37">
        <f>G411*(1-1)</f>
        <v>0</v>
      </c>
      <c r="AG411" s="33" t="s">
        <v>7</v>
      </c>
      <c r="AM411" s="37">
        <f>F411*AE411</f>
        <v>0</v>
      </c>
      <c r="AN411" s="37">
        <f>F411*AF411</f>
        <v>0</v>
      </c>
      <c r="AO411" s="38" t="s">
        <v>906</v>
      </c>
      <c r="AP411" s="38" t="s">
        <v>925</v>
      </c>
      <c r="AQ411" s="29" t="s">
        <v>926</v>
      </c>
      <c r="AS411" s="37">
        <f>AM411+AN411</f>
        <v>0</v>
      </c>
      <c r="AT411" s="37">
        <f>G411/(100-AU411)*100</f>
        <v>0</v>
      </c>
      <c r="AU411" s="37">
        <v>0</v>
      </c>
      <c r="AV411" s="37">
        <f>L411</f>
        <v>0.243</v>
      </c>
    </row>
    <row r="412" spans="1:37" ht="12.75">
      <c r="A412" s="5"/>
      <c r="B412" s="13"/>
      <c r="C412" s="13" t="s">
        <v>100</v>
      </c>
      <c r="D412" s="13" t="s">
        <v>802</v>
      </c>
      <c r="E412" s="5" t="s">
        <v>6</v>
      </c>
      <c r="F412" s="5" t="s">
        <v>6</v>
      </c>
      <c r="G412" s="5" t="s">
        <v>6</v>
      </c>
      <c r="H412" s="40">
        <f>SUM(H413:H417)</f>
        <v>0</v>
      </c>
      <c r="I412" s="40">
        <f>SUM(I413:I417)</f>
        <v>0</v>
      </c>
      <c r="J412" s="40">
        <f>H412+I412</f>
        <v>0</v>
      </c>
      <c r="K412" s="29"/>
      <c r="L412" s="40">
        <f>SUM(L413:L417)</f>
        <v>1.2318956</v>
      </c>
      <c r="M412" s="29"/>
      <c r="Y412" s="29"/>
      <c r="AI412" s="40">
        <f>SUM(Z413:Z417)</f>
        <v>0</v>
      </c>
      <c r="AJ412" s="40">
        <f>SUM(AA413:AA417)</f>
        <v>0</v>
      </c>
      <c r="AK412" s="40">
        <f>SUM(AB413:AB417)</f>
        <v>0</v>
      </c>
    </row>
    <row r="413" spans="1:48" ht="12.75">
      <c r="A413" s="4" t="s">
        <v>196</v>
      </c>
      <c r="B413" s="4"/>
      <c r="C413" s="4" t="s">
        <v>415</v>
      </c>
      <c r="D413" s="4" t="s">
        <v>803</v>
      </c>
      <c r="E413" s="4" t="s">
        <v>841</v>
      </c>
      <c r="F413" s="19">
        <v>63.52</v>
      </c>
      <c r="G413" s="19">
        <v>0</v>
      </c>
      <c r="H413" s="19">
        <f>F413*AE413</f>
        <v>0</v>
      </c>
      <c r="I413" s="19">
        <f>J413-H413</f>
        <v>0</v>
      </c>
      <c r="J413" s="19">
        <f>F413*G413</f>
        <v>0</v>
      </c>
      <c r="K413" s="19">
        <v>0.01838</v>
      </c>
      <c r="L413" s="19">
        <f>F413*K413</f>
        <v>1.1674976000000001</v>
      </c>
      <c r="M413" s="32" t="s">
        <v>863</v>
      </c>
      <c r="P413" s="37">
        <f>IF(AG413="5",J413,0)</f>
        <v>0</v>
      </c>
      <c r="R413" s="37">
        <f>IF(AG413="1",H413,0)</f>
        <v>0</v>
      </c>
      <c r="S413" s="37">
        <f>IF(AG413="1",I413,0)</f>
        <v>0</v>
      </c>
      <c r="T413" s="37">
        <f>IF(AG413="7",H413,0)</f>
        <v>0</v>
      </c>
      <c r="U413" s="37">
        <f>IF(AG413="7",I413,0)</f>
        <v>0</v>
      </c>
      <c r="V413" s="37">
        <f>IF(AG413="2",H413,0)</f>
        <v>0</v>
      </c>
      <c r="W413" s="37">
        <f>IF(AG413="2",I413,0)</f>
        <v>0</v>
      </c>
      <c r="X413" s="37">
        <f>IF(AG413="0",J413,0)</f>
        <v>0</v>
      </c>
      <c r="Y413" s="29"/>
      <c r="Z413" s="19">
        <f>IF(AD413=0,J413,0)</f>
        <v>0</v>
      </c>
      <c r="AA413" s="19">
        <f>IF(AD413=15,J413,0)</f>
        <v>0</v>
      </c>
      <c r="AB413" s="19">
        <f>IF(AD413=21,J413,0)</f>
        <v>0</v>
      </c>
      <c r="AD413" s="37">
        <v>21</v>
      </c>
      <c r="AE413" s="37">
        <f>G413*0.000562746400885936</f>
        <v>0</v>
      </c>
      <c r="AF413" s="37">
        <f>G413*(1-0.000562746400885936)</f>
        <v>0</v>
      </c>
      <c r="AG413" s="32" t="s">
        <v>7</v>
      </c>
      <c r="AM413" s="37">
        <f>F413*AE413</f>
        <v>0</v>
      </c>
      <c r="AN413" s="37">
        <f>F413*AF413</f>
        <v>0</v>
      </c>
      <c r="AO413" s="38" t="s">
        <v>907</v>
      </c>
      <c r="AP413" s="38" t="s">
        <v>925</v>
      </c>
      <c r="AQ413" s="29" t="s">
        <v>926</v>
      </c>
      <c r="AS413" s="37">
        <f>AM413+AN413</f>
        <v>0</v>
      </c>
      <c r="AT413" s="37">
        <f>G413/(100-AU413)*100</f>
        <v>0</v>
      </c>
      <c r="AU413" s="37">
        <v>0</v>
      </c>
      <c r="AV413" s="37">
        <f>L413</f>
        <v>1.1674976000000001</v>
      </c>
    </row>
    <row r="414" spans="4:6" ht="12.75">
      <c r="D414" s="15" t="s">
        <v>804</v>
      </c>
      <c r="F414" s="20">
        <v>63.52</v>
      </c>
    </row>
    <row r="415" spans="1:48" ht="12.75">
      <c r="A415" s="4" t="s">
        <v>197</v>
      </c>
      <c r="B415" s="4"/>
      <c r="C415" s="4" t="s">
        <v>416</v>
      </c>
      <c r="D415" s="4" t="s">
        <v>805</v>
      </c>
      <c r="E415" s="4" t="s">
        <v>841</v>
      </c>
      <c r="F415" s="19">
        <v>63.52</v>
      </c>
      <c r="G415" s="19">
        <v>0</v>
      </c>
      <c r="H415" s="19">
        <f>F415*AE415</f>
        <v>0</v>
      </c>
      <c r="I415" s="19">
        <f>J415-H415</f>
        <v>0</v>
      </c>
      <c r="J415" s="19">
        <f>F415*G415</f>
        <v>0</v>
      </c>
      <c r="K415" s="19">
        <v>0.00085</v>
      </c>
      <c r="L415" s="19">
        <f>F415*K415</f>
        <v>0.053992</v>
      </c>
      <c r="M415" s="32" t="s">
        <v>863</v>
      </c>
      <c r="P415" s="37">
        <f>IF(AG415="5",J415,0)</f>
        <v>0</v>
      </c>
      <c r="R415" s="37">
        <f>IF(AG415="1",H415,0)</f>
        <v>0</v>
      </c>
      <c r="S415" s="37">
        <f>IF(AG415="1",I415,0)</f>
        <v>0</v>
      </c>
      <c r="T415" s="37">
        <f>IF(AG415="7",H415,0)</f>
        <v>0</v>
      </c>
      <c r="U415" s="37">
        <f>IF(AG415="7",I415,0)</f>
        <v>0</v>
      </c>
      <c r="V415" s="37">
        <f>IF(AG415="2",H415,0)</f>
        <v>0</v>
      </c>
      <c r="W415" s="37">
        <f>IF(AG415="2",I415,0)</f>
        <v>0</v>
      </c>
      <c r="X415" s="37">
        <f>IF(AG415="0",J415,0)</f>
        <v>0</v>
      </c>
      <c r="Y415" s="29"/>
      <c r="Z415" s="19">
        <f>IF(AD415=0,J415,0)</f>
        <v>0</v>
      </c>
      <c r="AA415" s="19">
        <f>IF(AD415=15,J415,0)</f>
        <v>0</v>
      </c>
      <c r="AB415" s="19">
        <f>IF(AD415=21,J415,0)</f>
        <v>0</v>
      </c>
      <c r="AD415" s="37">
        <v>21</v>
      </c>
      <c r="AE415" s="37">
        <f>G415*0.927719298245614</f>
        <v>0</v>
      </c>
      <c r="AF415" s="37">
        <f>G415*(1-0.927719298245614)</f>
        <v>0</v>
      </c>
      <c r="AG415" s="32" t="s">
        <v>7</v>
      </c>
      <c r="AM415" s="37">
        <f>F415*AE415</f>
        <v>0</v>
      </c>
      <c r="AN415" s="37">
        <f>F415*AF415</f>
        <v>0</v>
      </c>
      <c r="AO415" s="38" t="s">
        <v>907</v>
      </c>
      <c r="AP415" s="38" t="s">
        <v>925</v>
      </c>
      <c r="AQ415" s="29" t="s">
        <v>926</v>
      </c>
      <c r="AS415" s="37">
        <f>AM415+AN415</f>
        <v>0</v>
      </c>
      <c r="AT415" s="37">
        <f>G415/(100-AU415)*100</f>
        <v>0</v>
      </c>
      <c r="AU415" s="37">
        <v>0</v>
      </c>
      <c r="AV415" s="37">
        <f>L415</f>
        <v>0.053992</v>
      </c>
    </row>
    <row r="416" spans="1:48" ht="12.75">
      <c r="A416" s="4" t="s">
        <v>198</v>
      </c>
      <c r="B416" s="4"/>
      <c r="C416" s="4" t="s">
        <v>417</v>
      </c>
      <c r="D416" s="4" t="s">
        <v>806</v>
      </c>
      <c r="E416" s="4" t="s">
        <v>841</v>
      </c>
      <c r="F416" s="19">
        <v>63.52</v>
      </c>
      <c r="G416" s="19">
        <v>0</v>
      </c>
      <c r="H416" s="19">
        <f>F416*AE416</f>
        <v>0</v>
      </c>
      <c r="I416" s="19">
        <f>J416-H416</f>
        <v>0</v>
      </c>
      <c r="J416" s="19">
        <f>F416*G416</f>
        <v>0</v>
      </c>
      <c r="K416" s="19">
        <v>0</v>
      </c>
      <c r="L416" s="19">
        <f>F416*K416</f>
        <v>0</v>
      </c>
      <c r="M416" s="32" t="s">
        <v>863</v>
      </c>
      <c r="P416" s="37">
        <f>IF(AG416="5",J416,0)</f>
        <v>0</v>
      </c>
      <c r="R416" s="37">
        <f>IF(AG416="1",H416,0)</f>
        <v>0</v>
      </c>
      <c r="S416" s="37">
        <f>IF(AG416="1",I416,0)</f>
        <v>0</v>
      </c>
      <c r="T416" s="37">
        <f>IF(AG416="7",H416,0)</f>
        <v>0</v>
      </c>
      <c r="U416" s="37">
        <f>IF(AG416="7",I416,0)</f>
        <v>0</v>
      </c>
      <c r="V416" s="37">
        <f>IF(AG416="2",H416,0)</f>
        <v>0</v>
      </c>
      <c r="W416" s="37">
        <f>IF(AG416="2",I416,0)</f>
        <v>0</v>
      </c>
      <c r="X416" s="37">
        <f>IF(AG416="0",J416,0)</f>
        <v>0</v>
      </c>
      <c r="Y416" s="29"/>
      <c r="Z416" s="19">
        <f>IF(AD416=0,J416,0)</f>
        <v>0</v>
      </c>
      <c r="AA416" s="19">
        <f>IF(AD416=15,J416,0)</f>
        <v>0</v>
      </c>
      <c r="AB416" s="19">
        <f>IF(AD416=21,J416,0)</f>
        <v>0</v>
      </c>
      <c r="AD416" s="37">
        <v>21</v>
      </c>
      <c r="AE416" s="37">
        <f>G416*0</f>
        <v>0</v>
      </c>
      <c r="AF416" s="37">
        <f>G416*(1-0)</f>
        <v>0</v>
      </c>
      <c r="AG416" s="32" t="s">
        <v>7</v>
      </c>
      <c r="AM416" s="37">
        <f>F416*AE416</f>
        <v>0</v>
      </c>
      <c r="AN416" s="37">
        <f>F416*AF416</f>
        <v>0</v>
      </c>
      <c r="AO416" s="38" t="s">
        <v>907</v>
      </c>
      <c r="AP416" s="38" t="s">
        <v>925</v>
      </c>
      <c r="AQ416" s="29" t="s">
        <v>926</v>
      </c>
      <c r="AS416" s="37">
        <f>AM416+AN416</f>
        <v>0</v>
      </c>
      <c r="AT416" s="37">
        <f>G416/(100-AU416)*100</f>
        <v>0</v>
      </c>
      <c r="AU416" s="37">
        <v>0</v>
      </c>
      <c r="AV416" s="37">
        <f>L416</f>
        <v>0</v>
      </c>
    </row>
    <row r="417" spans="1:48" ht="12.75">
      <c r="A417" s="4" t="s">
        <v>199</v>
      </c>
      <c r="B417" s="4"/>
      <c r="C417" s="4" t="s">
        <v>418</v>
      </c>
      <c r="D417" s="4" t="s">
        <v>807</v>
      </c>
      <c r="E417" s="4" t="s">
        <v>841</v>
      </c>
      <c r="F417" s="19">
        <v>8.6</v>
      </c>
      <c r="G417" s="19">
        <v>0</v>
      </c>
      <c r="H417" s="19">
        <f>F417*AE417</f>
        <v>0</v>
      </c>
      <c r="I417" s="19">
        <f>J417-H417</f>
        <v>0</v>
      </c>
      <c r="J417" s="19">
        <f>F417*G417</f>
        <v>0</v>
      </c>
      <c r="K417" s="19">
        <v>0.00121</v>
      </c>
      <c r="L417" s="19">
        <f>F417*K417</f>
        <v>0.010405999999999999</v>
      </c>
      <c r="M417" s="32" t="s">
        <v>863</v>
      </c>
      <c r="P417" s="37">
        <f>IF(AG417="5",J417,0)</f>
        <v>0</v>
      </c>
      <c r="R417" s="37">
        <f>IF(AG417="1",H417,0)</f>
        <v>0</v>
      </c>
      <c r="S417" s="37">
        <f>IF(AG417="1",I417,0)</f>
        <v>0</v>
      </c>
      <c r="T417" s="37">
        <f>IF(AG417="7",H417,0)</f>
        <v>0</v>
      </c>
      <c r="U417" s="37">
        <f>IF(AG417="7",I417,0)</f>
        <v>0</v>
      </c>
      <c r="V417" s="37">
        <f>IF(AG417="2",H417,0)</f>
        <v>0</v>
      </c>
      <c r="W417" s="37">
        <f>IF(AG417="2",I417,0)</f>
        <v>0</v>
      </c>
      <c r="X417" s="37">
        <f>IF(AG417="0",J417,0)</f>
        <v>0</v>
      </c>
      <c r="Y417" s="29"/>
      <c r="Z417" s="19">
        <f>IF(AD417=0,J417,0)</f>
        <v>0</v>
      </c>
      <c r="AA417" s="19">
        <f>IF(AD417=15,J417,0)</f>
        <v>0</v>
      </c>
      <c r="AB417" s="19">
        <f>IF(AD417=21,J417,0)</f>
        <v>0</v>
      </c>
      <c r="AD417" s="37">
        <v>21</v>
      </c>
      <c r="AE417" s="37">
        <f>G417*0.367705134895688</f>
        <v>0</v>
      </c>
      <c r="AF417" s="37">
        <f>G417*(1-0.367705134895688)</f>
        <v>0</v>
      </c>
      <c r="AG417" s="32" t="s">
        <v>7</v>
      </c>
      <c r="AM417" s="37">
        <f>F417*AE417</f>
        <v>0</v>
      </c>
      <c r="AN417" s="37">
        <f>F417*AF417</f>
        <v>0</v>
      </c>
      <c r="AO417" s="38" t="s">
        <v>907</v>
      </c>
      <c r="AP417" s="38" t="s">
        <v>925</v>
      </c>
      <c r="AQ417" s="29" t="s">
        <v>926</v>
      </c>
      <c r="AS417" s="37">
        <f>AM417+AN417</f>
        <v>0</v>
      </c>
      <c r="AT417" s="37">
        <f>G417/(100-AU417)*100</f>
        <v>0</v>
      </c>
      <c r="AU417" s="37">
        <v>0</v>
      </c>
      <c r="AV417" s="37">
        <f>L417</f>
        <v>0.010405999999999999</v>
      </c>
    </row>
    <row r="418" spans="4:6" ht="12.75">
      <c r="D418" s="15" t="s">
        <v>808</v>
      </c>
      <c r="F418" s="20">
        <v>8.6</v>
      </c>
    </row>
    <row r="419" spans="1:37" ht="12.75">
      <c r="A419" s="5"/>
      <c r="B419" s="13"/>
      <c r="C419" s="13" t="s">
        <v>101</v>
      </c>
      <c r="D419" s="13" t="s">
        <v>809</v>
      </c>
      <c r="E419" s="5" t="s">
        <v>6</v>
      </c>
      <c r="F419" s="5" t="s">
        <v>6</v>
      </c>
      <c r="G419" s="5" t="s">
        <v>6</v>
      </c>
      <c r="H419" s="40">
        <f>SUM(H420:H422)</f>
        <v>0</v>
      </c>
      <c r="I419" s="40">
        <f>SUM(I420:I422)</f>
        <v>0</v>
      </c>
      <c r="J419" s="40">
        <f>H419+I419</f>
        <v>0</v>
      </c>
      <c r="K419" s="29"/>
      <c r="L419" s="40">
        <f>SUM(L420:L422)</f>
        <v>0.0781792</v>
      </c>
      <c r="M419" s="29"/>
      <c r="Y419" s="29"/>
      <c r="AI419" s="40">
        <f>SUM(Z420:Z422)</f>
        <v>0</v>
      </c>
      <c r="AJ419" s="40">
        <f>SUM(AA420:AA422)</f>
        <v>0</v>
      </c>
      <c r="AK419" s="40">
        <f>SUM(AB420:AB422)</f>
        <v>0</v>
      </c>
    </row>
    <row r="420" spans="1:48" ht="12.75">
      <c r="A420" s="4" t="s">
        <v>200</v>
      </c>
      <c r="B420" s="4"/>
      <c r="C420" s="4" t="s">
        <v>419</v>
      </c>
      <c r="D420" s="4" t="s">
        <v>810</v>
      </c>
      <c r="E420" s="4" t="s">
        <v>841</v>
      </c>
      <c r="F420" s="19">
        <v>17.98</v>
      </c>
      <c r="G420" s="19">
        <v>0</v>
      </c>
      <c r="H420" s="19">
        <f>F420*AE420</f>
        <v>0</v>
      </c>
      <c r="I420" s="19">
        <f>J420-H420</f>
        <v>0</v>
      </c>
      <c r="J420" s="19">
        <f>F420*G420</f>
        <v>0</v>
      </c>
      <c r="K420" s="19">
        <v>4E-05</v>
      </c>
      <c r="L420" s="19">
        <f>F420*K420</f>
        <v>0.0007192</v>
      </c>
      <c r="M420" s="32" t="s">
        <v>863</v>
      </c>
      <c r="P420" s="37">
        <f>IF(AG420="5",J420,0)</f>
        <v>0</v>
      </c>
      <c r="R420" s="37">
        <f>IF(AG420="1",H420,0)</f>
        <v>0</v>
      </c>
      <c r="S420" s="37">
        <f>IF(AG420="1",I420,0)</f>
        <v>0</v>
      </c>
      <c r="T420" s="37">
        <f>IF(AG420="7",H420,0)</f>
        <v>0</v>
      </c>
      <c r="U420" s="37">
        <f>IF(AG420="7",I420,0)</f>
        <v>0</v>
      </c>
      <c r="V420" s="37">
        <f>IF(AG420="2",H420,0)</f>
        <v>0</v>
      </c>
      <c r="W420" s="37">
        <f>IF(AG420="2",I420,0)</f>
        <v>0</v>
      </c>
      <c r="X420" s="37">
        <f>IF(AG420="0",J420,0)</f>
        <v>0</v>
      </c>
      <c r="Y420" s="29"/>
      <c r="Z420" s="19">
        <f>IF(AD420=0,J420,0)</f>
        <v>0</v>
      </c>
      <c r="AA420" s="19">
        <f>IF(AD420=15,J420,0)</f>
        <v>0</v>
      </c>
      <c r="AB420" s="19">
        <f>IF(AD420=21,J420,0)</f>
        <v>0</v>
      </c>
      <c r="AD420" s="37">
        <v>21</v>
      </c>
      <c r="AE420" s="37">
        <f>G420*0.0144264236347438</f>
        <v>0</v>
      </c>
      <c r="AF420" s="37">
        <f>G420*(1-0.0144264236347438)</f>
        <v>0</v>
      </c>
      <c r="AG420" s="32" t="s">
        <v>7</v>
      </c>
      <c r="AM420" s="37">
        <f>F420*AE420</f>
        <v>0</v>
      </c>
      <c r="AN420" s="37">
        <f>F420*AF420</f>
        <v>0</v>
      </c>
      <c r="AO420" s="38" t="s">
        <v>908</v>
      </c>
      <c r="AP420" s="38" t="s">
        <v>925</v>
      </c>
      <c r="AQ420" s="29" t="s">
        <v>926</v>
      </c>
      <c r="AS420" s="37">
        <f>AM420+AN420</f>
        <v>0</v>
      </c>
      <c r="AT420" s="37">
        <f>G420/(100-AU420)*100</f>
        <v>0</v>
      </c>
      <c r="AU420" s="37">
        <v>0</v>
      </c>
      <c r="AV420" s="37">
        <f>L420</f>
        <v>0.0007192</v>
      </c>
    </row>
    <row r="421" spans="4:6" ht="12.75">
      <c r="D421" s="15" t="s">
        <v>811</v>
      </c>
      <c r="F421" s="20">
        <v>17.98</v>
      </c>
    </row>
    <row r="422" spans="1:48" ht="12.75">
      <c r="A422" s="4" t="s">
        <v>201</v>
      </c>
      <c r="B422" s="4"/>
      <c r="C422" s="4" t="s">
        <v>420</v>
      </c>
      <c r="D422" s="4" t="s">
        <v>812</v>
      </c>
      <c r="E422" s="4" t="s">
        <v>837</v>
      </c>
      <c r="F422" s="19">
        <v>3</v>
      </c>
      <c r="G422" s="19">
        <v>0</v>
      </c>
      <c r="H422" s="19">
        <f>F422*AE422</f>
        <v>0</v>
      </c>
      <c r="I422" s="19">
        <f>J422-H422</f>
        <v>0</v>
      </c>
      <c r="J422" s="19">
        <f>F422*G422</f>
        <v>0</v>
      </c>
      <c r="K422" s="19">
        <v>0.02582</v>
      </c>
      <c r="L422" s="19">
        <f>F422*K422</f>
        <v>0.07746</v>
      </c>
      <c r="M422" s="32" t="s">
        <v>863</v>
      </c>
      <c r="P422" s="37">
        <f>IF(AG422="5",J422,0)</f>
        <v>0</v>
      </c>
      <c r="R422" s="37">
        <f>IF(AG422="1",H422,0)</f>
        <v>0</v>
      </c>
      <c r="S422" s="37">
        <f>IF(AG422="1",I422,0)</f>
        <v>0</v>
      </c>
      <c r="T422" s="37">
        <f>IF(AG422="7",H422,0)</f>
        <v>0</v>
      </c>
      <c r="U422" s="37">
        <f>IF(AG422="7",I422,0)</f>
        <v>0</v>
      </c>
      <c r="V422" s="37">
        <f>IF(AG422="2",H422,0)</f>
        <v>0</v>
      </c>
      <c r="W422" s="37">
        <f>IF(AG422="2",I422,0)</f>
        <v>0</v>
      </c>
      <c r="X422" s="37">
        <f>IF(AG422="0",J422,0)</f>
        <v>0</v>
      </c>
      <c r="Y422" s="29"/>
      <c r="Z422" s="19">
        <f>IF(AD422=0,J422,0)</f>
        <v>0</v>
      </c>
      <c r="AA422" s="19">
        <f>IF(AD422=15,J422,0)</f>
        <v>0</v>
      </c>
      <c r="AB422" s="19">
        <f>IF(AD422=21,J422,0)</f>
        <v>0</v>
      </c>
      <c r="AD422" s="37">
        <v>21</v>
      </c>
      <c r="AE422" s="37">
        <f>G422*0.263909426987061</f>
        <v>0</v>
      </c>
      <c r="AF422" s="37">
        <f>G422*(1-0.263909426987061)</f>
        <v>0</v>
      </c>
      <c r="AG422" s="32" t="s">
        <v>7</v>
      </c>
      <c r="AM422" s="37">
        <f>F422*AE422</f>
        <v>0</v>
      </c>
      <c r="AN422" s="37">
        <f>F422*AF422</f>
        <v>0</v>
      </c>
      <c r="AO422" s="38" t="s">
        <v>908</v>
      </c>
      <c r="AP422" s="38" t="s">
        <v>925</v>
      </c>
      <c r="AQ422" s="29" t="s">
        <v>926</v>
      </c>
      <c r="AS422" s="37">
        <f>AM422+AN422</f>
        <v>0</v>
      </c>
      <c r="AT422" s="37">
        <f>G422/(100-AU422)*100</f>
        <v>0</v>
      </c>
      <c r="AU422" s="37">
        <v>0</v>
      </c>
      <c r="AV422" s="37">
        <f>L422</f>
        <v>0.07746</v>
      </c>
    </row>
    <row r="423" spans="4:6" ht="12.75">
      <c r="D423" s="15" t="s">
        <v>813</v>
      </c>
      <c r="F423" s="20">
        <v>3</v>
      </c>
    </row>
    <row r="424" spans="1:37" ht="12.75">
      <c r="A424" s="5"/>
      <c r="B424" s="13"/>
      <c r="C424" s="13" t="s">
        <v>102</v>
      </c>
      <c r="D424" s="13" t="s">
        <v>814</v>
      </c>
      <c r="E424" s="5" t="s">
        <v>6</v>
      </c>
      <c r="F424" s="5" t="s">
        <v>6</v>
      </c>
      <c r="G424" s="5" t="s">
        <v>6</v>
      </c>
      <c r="H424" s="40">
        <f>SUM(H425:H427)</f>
        <v>0</v>
      </c>
      <c r="I424" s="40">
        <f>SUM(I425:I427)</f>
        <v>0</v>
      </c>
      <c r="J424" s="40">
        <f>H424+I424</f>
        <v>0</v>
      </c>
      <c r="K424" s="29"/>
      <c r="L424" s="40">
        <f>SUM(L425:L427)</f>
        <v>1.8585000000000003</v>
      </c>
      <c r="M424" s="29"/>
      <c r="Y424" s="29"/>
      <c r="AI424" s="40">
        <f>SUM(Z425:Z427)</f>
        <v>0</v>
      </c>
      <c r="AJ424" s="40">
        <f>SUM(AA425:AA427)</f>
        <v>0</v>
      </c>
      <c r="AK424" s="40">
        <f>SUM(AB425:AB427)</f>
        <v>0</v>
      </c>
    </row>
    <row r="425" spans="1:48" ht="12.75">
      <c r="A425" s="4" t="s">
        <v>202</v>
      </c>
      <c r="B425" s="4"/>
      <c r="C425" s="4" t="s">
        <v>421</v>
      </c>
      <c r="D425" s="4" t="s">
        <v>815</v>
      </c>
      <c r="E425" s="4" t="s">
        <v>838</v>
      </c>
      <c r="F425" s="19">
        <v>0.05</v>
      </c>
      <c r="G425" s="19">
        <v>0</v>
      </c>
      <c r="H425" s="19">
        <f>F425*AE425</f>
        <v>0</v>
      </c>
      <c r="I425" s="19">
        <f>J425-H425</f>
        <v>0</v>
      </c>
      <c r="J425" s="19">
        <f>F425*G425</f>
        <v>0</v>
      </c>
      <c r="K425" s="19">
        <v>2.85</v>
      </c>
      <c r="L425" s="19">
        <f>F425*K425</f>
        <v>0.14250000000000002</v>
      </c>
      <c r="M425" s="32" t="s">
        <v>863</v>
      </c>
      <c r="P425" s="37">
        <f>IF(AG425="5",J425,0)</f>
        <v>0</v>
      </c>
      <c r="R425" s="37">
        <f>IF(AG425="1",H425,0)</f>
        <v>0</v>
      </c>
      <c r="S425" s="37">
        <f>IF(AG425="1",I425,0)</f>
        <v>0</v>
      </c>
      <c r="T425" s="37">
        <f>IF(AG425="7",H425,0)</f>
        <v>0</v>
      </c>
      <c r="U425" s="37">
        <f>IF(AG425="7",I425,0)</f>
        <v>0</v>
      </c>
      <c r="V425" s="37">
        <f>IF(AG425="2",H425,0)</f>
        <v>0</v>
      </c>
      <c r="W425" s="37">
        <f>IF(AG425="2",I425,0)</f>
        <v>0</v>
      </c>
      <c r="X425" s="37">
        <f>IF(AG425="0",J425,0)</f>
        <v>0</v>
      </c>
      <c r="Y425" s="29"/>
      <c r="Z425" s="19">
        <f>IF(AD425=0,J425,0)</f>
        <v>0</v>
      </c>
      <c r="AA425" s="19">
        <f>IF(AD425=15,J425,0)</f>
        <v>0</v>
      </c>
      <c r="AB425" s="19">
        <f>IF(AD425=21,J425,0)</f>
        <v>0</v>
      </c>
      <c r="AD425" s="37">
        <v>21</v>
      </c>
      <c r="AE425" s="37">
        <f>G425*0</f>
        <v>0</v>
      </c>
      <c r="AF425" s="37">
        <f>G425*(1-0)</f>
        <v>0</v>
      </c>
      <c r="AG425" s="32" t="s">
        <v>7</v>
      </c>
      <c r="AM425" s="37">
        <f>F425*AE425</f>
        <v>0</v>
      </c>
      <c r="AN425" s="37">
        <f>F425*AF425</f>
        <v>0</v>
      </c>
      <c r="AO425" s="38" t="s">
        <v>909</v>
      </c>
      <c r="AP425" s="38" t="s">
        <v>925</v>
      </c>
      <c r="AQ425" s="29" t="s">
        <v>926</v>
      </c>
      <c r="AS425" s="37">
        <f>AM425+AN425</f>
        <v>0</v>
      </c>
      <c r="AT425" s="37">
        <f>G425/(100-AU425)*100</f>
        <v>0</v>
      </c>
      <c r="AU425" s="37">
        <v>0</v>
      </c>
      <c r="AV425" s="37">
        <f>L425</f>
        <v>0.14250000000000002</v>
      </c>
    </row>
    <row r="426" spans="4:6" ht="12.75">
      <c r="D426" s="15" t="s">
        <v>816</v>
      </c>
      <c r="F426" s="20">
        <v>0.05</v>
      </c>
    </row>
    <row r="427" spans="1:48" ht="12.75">
      <c r="A427" s="4" t="s">
        <v>203</v>
      </c>
      <c r="B427" s="4"/>
      <c r="C427" s="4" t="s">
        <v>422</v>
      </c>
      <c r="D427" s="4" t="s">
        <v>817</v>
      </c>
      <c r="E427" s="4" t="s">
        <v>838</v>
      </c>
      <c r="F427" s="19">
        <v>0.78</v>
      </c>
      <c r="G427" s="19">
        <v>0</v>
      </c>
      <c r="H427" s="19">
        <f>F427*AE427</f>
        <v>0</v>
      </c>
      <c r="I427" s="19">
        <f>J427-H427</f>
        <v>0</v>
      </c>
      <c r="J427" s="19">
        <f>F427*G427</f>
        <v>0</v>
      </c>
      <c r="K427" s="19">
        <v>2.2</v>
      </c>
      <c r="L427" s="19">
        <f>F427*K427</f>
        <v>1.7160000000000002</v>
      </c>
      <c r="M427" s="32" t="s">
        <v>863</v>
      </c>
      <c r="P427" s="37">
        <f>IF(AG427="5",J427,0)</f>
        <v>0</v>
      </c>
      <c r="R427" s="37">
        <f>IF(AG427="1",H427,0)</f>
        <v>0</v>
      </c>
      <c r="S427" s="37">
        <f>IF(AG427="1",I427,0)</f>
        <v>0</v>
      </c>
      <c r="T427" s="37">
        <f>IF(AG427="7",H427,0)</f>
        <v>0</v>
      </c>
      <c r="U427" s="37">
        <f>IF(AG427="7",I427,0)</f>
        <v>0</v>
      </c>
      <c r="V427" s="37">
        <f>IF(AG427="2",H427,0)</f>
        <v>0</v>
      </c>
      <c r="W427" s="37">
        <f>IF(AG427="2",I427,0)</f>
        <v>0</v>
      </c>
      <c r="X427" s="37">
        <f>IF(AG427="0",J427,0)</f>
        <v>0</v>
      </c>
      <c r="Y427" s="29"/>
      <c r="Z427" s="19">
        <f>IF(AD427=0,J427,0)</f>
        <v>0</v>
      </c>
      <c r="AA427" s="19">
        <f>IF(AD427=15,J427,0)</f>
        <v>0</v>
      </c>
      <c r="AB427" s="19">
        <f>IF(AD427=21,J427,0)</f>
        <v>0</v>
      </c>
      <c r="AD427" s="37">
        <v>21</v>
      </c>
      <c r="AE427" s="37">
        <f>G427*0</f>
        <v>0</v>
      </c>
      <c r="AF427" s="37">
        <f>G427*(1-0)</f>
        <v>0</v>
      </c>
      <c r="AG427" s="32" t="s">
        <v>7</v>
      </c>
      <c r="AM427" s="37">
        <f>F427*AE427</f>
        <v>0</v>
      </c>
      <c r="AN427" s="37">
        <f>F427*AF427</f>
        <v>0</v>
      </c>
      <c r="AO427" s="38" t="s">
        <v>909</v>
      </c>
      <c r="AP427" s="38" t="s">
        <v>925</v>
      </c>
      <c r="AQ427" s="29" t="s">
        <v>926</v>
      </c>
      <c r="AS427" s="37">
        <f>AM427+AN427</f>
        <v>0</v>
      </c>
      <c r="AT427" s="37">
        <f>G427/(100-AU427)*100</f>
        <v>0</v>
      </c>
      <c r="AU427" s="37">
        <v>0</v>
      </c>
      <c r="AV427" s="37">
        <f>L427</f>
        <v>1.7160000000000002</v>
      </c>
    </row>
    <row r="428" spans="4:6" ht="12.75">
      <c r="D428" s="15" t="s">
        <v>818</v>
      </c>
      <c r="F428" s="20">
        <v>0.78</v>
      </c>
    </row>
    <row r="429" spans="1:37" ht="12.75">
      <c r="A429" s="5"/>
      <c r="B429" s="13"/>
      <c r="C429" s="13" t="s">
        <v>103</v>
      </c>
      <c r="D429" s="13" t="s">
        <v>819</v>
      </c>
      <c r="E429" s="5" t="s">
        <v>6</v>
      </c>
      <c r="F429" s="5" t="s">
        <v>6</v>
      </c>
      <c r="G429" s="5" t="s">
        <v>6</v>
      </c>
      <c r="H429" s="40">
        <f>SUM(H430:H430)</f>
        <v>0</v>
      </c>
      <c r="I429" s="40">
        <f>SUM(I430:I430)</f>
        <v>0</v>
      </c>
      <c r="J429" s="40">
        <f>H429+I429</f>
        <v>0</v>
      </c>
      <c r="K429" s="29"/>
      <c r="L429" s="40">
        <f>SUM(L430:L430)</f>
        <v>0.23736</v>
      </c>
      <c r="M429" s="29"/>
      <c r="Y429" s="29"/>
      <c r="AI429" s="40">
        <f>SUM(Z430:Z430)</f>
        <v>0</v>
      </c>
      <c r="AJ429" s="40">
        <f>SUM(AA430:AA430)</f>
        <v>0</v>
      </c>
      <c r="AK429" s="40">
        <f>SUM(AB430:AB430)</f>
        <v>0</v>
      </c>
    </row>
    <row r="430" spans="1:48" ht="12.75">
      <c r="A430" s="4" t="s">
        <v>204</v>
      </c>
      <c r="B430" s="4"/>
      <c r="C430" s="4" t="s">
        <v>423</v>
      </c>
      <c r="D430" s="4" t="s">
        <v>820</v>
      </c>
      <c r="E430" s="4" t="s">
        <v>839</v>
      </c>
      <c r="F430" s="19">
        <v>4</v>
      </c>
      <c r="G430" s="19">
        <v>0</v>
      </c>
      <c r="H430" s="19">
        <f>F430*AE430</f>
        <v>0</v>
      </c>
      <c r="I430" s="19">
        <f>J430-H430</f>
        <v>0</v>
      </c>
      <c r="J430" s="19">
        <f>F430*G430</f>
        <v>0</v>
      </c>
      <c r="K430" s="19">
        <v>0.05934</v>
      </c>
      <c r="L430" s="19">
        <f>F430*K430</f>
        <v>0.23736</v>
      </c>
      <c r="M430" s="32" t="s">
        <v>863</v>
      </c>
      <c r="P430" s="37">
        <f>IF(AG430="5",J430,0)</f>
        <v>0</v>
      </c>
      <c r="R430" s="37">
        <f>IF(AG430="1",H430,0)</f>
        <v>0</v>
      </c>
      <c r="S430" s="37">
        <f>IF(AG430="1",I430,0)</f>
        <v>0</v>
      </c>
      <c r="T430" s="37">
        <f>IF(AG430="7",H430,0)</f>
        <v>0</v>
      </c>
      <c r="U430" s="37">
        <f>IF(AG430="7",I430,0)</f>
        <v>0</v>
      </c>
      <c r="V430" s="37">
        <f>IF(AG430="2",H430,0)</f>
        <v>0</v>
      </c>
      <c r="W430" s="37">
        <f>IF(AG430="2",I430,0)</f>
        <v>0</v>
      </c>
      <c r="X430" s="37">
        <f>IF(AG430="0",J430,0)</f>
        <v>0</v>
      </c>
      <c r="Y430" s="29"/>
      <c r="Z430" s="19">
        <f>IF(AD430=0,J430,0)</f>
        <v>0</v>
      </c>
      <c r="AA430" s="19">
        <f>IF(AD430=15,J430,0)</f>
        <v>0</v>
      </c>
      <c r="AB430" s="19">
        <f>IF(AD430=21,J430,0)</f>
        <v>0</v>
      </c>
      <c r="AD430" s="37">
        <v>21</v>
      </c>
      <c r="AE430" s="37">
        <f>G430*0.0126307448494453</f>
        <v>0</v>
      </c>
      <c r="AF430" s="37">
        <f>G430*(1-0.0126307448494453)</f>
        <v>0</v>
      </c>
      <c r="AG430" s="32" t="s">
        <v>7</v>
      </c>
      <c r="AM430" s="37">
        <f>F430*AE430</f>
        <v>0</v>
      </c>
      <c r="AN430" s="37">
        <f>F430*AF430</f>
        <v>0</v>
      </c>
      <c r="AO430" s="38" t="s">
        <v>910</v>
      </c>
      <c r="AP430" s="38" t="s">
        <v>925</v>
      </c>
      <c r="AQ430" s="29" t="s">
        <v>926</v>
      </c>
      <c r="AS430" s="37">
        <f>AM430+AN430</f>
        <v>0</v>
      </c>
      <c r="AT430" s="37">
        <f>G430/(100-AU430)*100</f>
        <v>0</v>
      </c>
      <c r="AU430" s="37">
        <v>0</v>
      </c>
      <c r="AV430" s="37">
        <f>L430</f>
        <v>0.23736</v>
      </c>
    </row>
    <row r="431" spans="4:6" ht="12.75">
      <c r="D431" s="15" t="s">
        <v>821</v>
      </c>
      <c r="F431" s="20">
        <v>4</v>
      </c>
    </row>
    <row r="432" spans="1:37" ht="12.75">
      <c r="A432" s="5"/>
      <c r="B432" s="13"/>
      <c r="C432" s="13" t="s">
        <v>424</v>
      </c>
      <c r="D432" s="13" t="s">
        <v>822</v>
      </c>
      <c r="E432" s="5" t="s">
        <v>6</v>
      </c>
      <c r="F432" s="5" t="s">
        <v>6</v>
      </c>
      <c r="G432" s="5" t="s">
        <v>6</v>
      </c>
      <c r="H432" s="40">
        <f>SUM(H433:H433)</f>
        <v>0</v>
      </c>
      <c r="I432" s="40">
        <f>SUM(I433:I433)</f>
        <v>0</v>
      </c>
      <c r="J432" s="40">
        <f>H432+I432</f>
        <v>0</v>
      </c>
      <c r="K432" s="29"/>
      <c r="L432" s="40">
        <f>SUM(L433:L433)</f>
        <v>0</v>
      </c>
      <c r="M432" s="29"/>
      <c r="Y432" s="29"/>
      <c r="AI432" s="40">
        <f>SUM(Z433:Z433)</f>
        <v>0</v>
      </c>
      <c r="AJ432" s="40">
        <f>SUM(AA433:AA433)</f>
        <v>0</v>
      </c>
      <c r="AK432" s="40">
        <f>SUM(AB433:AB433)</f>
        <v>0</v>
      </c>
    </row>
    <row r="433" spans="1:48" ht="12.75">
      <c r="A433" s="4" t="s">
        <v>205</v>
      </c>
      <c r="B433" s="4"/>
      <c r="C433" s="4" t="s">
        <v>425</v>
      </c>
      <c r="D433" s="4" t="s">
        <v>823</v>
      </c>
      <c r="E433" s="4" t="s">
        <v>840</v>
      </c>
      <c r="F433" s="19">
        <v>58.05</v>
      </c>
      <c r="G433" s="19">
        <v>0</v>
      </c>
      <c r="H433" s="19">
        <f>F433*AE433</f>
        <v>0</v>
      </c>
      <c r="I433" s="19">
        <f>J433-H433</f>
        <v>0</v>
      </c>
      <c r="J433" s="19">
        <f>F433*G433</f>
        <v>0</v>
      </c>
      <c r="K433" s="19">
        <v>0</v>
      </c>
      <c r="L433" s="19">
        <f>F433*K433</f>
        <v>0</v>
      </c>
      <c r="M433" s="32" t="s">
        <v>863</v>
      </c>
      <c r="P433" s="37">
        <f>IF(AG433="5",J433,0)</f>
        <v>0</v>
      </c>
      <c r="R433" s="37">
        <f>IF(AG433="1",H433,0)</f>
        <v>0</v>
      </c>
      <c r="S433" s="37">
        <f>IF(AG433="1",I433,0)</f>
        <v>0</v>
      </c>
      <c r="T433" s="37">
        <f>IF(AG433="7",H433,0)</f>
        <v>0</v>
      </c>
      <c r="U433" s="37">
        <f>IF(AG433="7",I433,0)</f>
        <v>0</v>
      </c>
      <c r="V433" s="37">
        <f>IF(AG433="2",H433,0)</f>
        <v>0</v>
      </c>
      <c r="W433" s="37">
        <f>IF(AG433="2",I433,0)</f>
        <v>0</v>
      </c>
      <c r="X433" s="37">
        <f>IF(AG433="0",J433,0)</f>
        <v>0</v>
      </c>
      <c r="Y433" s="29"/>
      <c r="Z433" s="19">
        <f>IF(AD433=0,J433,0)</f>
        <v>0</v>
      </c>
      <c r="AA433" s="19">
        <f>IF(AD433=15,J433,0)</f>
        <v>0</v>
      </c>
      <c r="AB433" s="19">
        <f>IF(AD433=21,J433,0)</f>
        <v>0</v>
      </c>
      <c r="AD433" s="37">
        <v>21</v>
      </c>
      <c r="AE433" s="37">
        <f>G433*0</f>
        <v>0</v>
      </c>
      <c r="AF433" s="37">
        <f>G433*(1-0)</f>
        <v>0</v>
      </c>
      <c r="AG433" s="32" t="s">
        <v>11</v>
      </c>
      <c r="AM433" s="37">
        <f>F433*AE433</f>
        <v>0</v>
      </c>
      <c r="AN433" s="37">
        <f>F433*AF433</f>
        <v>0</v>
      </c>
      <c r="AO433" s="38" t="s">
        <v>911</v>
      </c>
      <c r="AP433" s="38" t="s">
        <v>925</v>
      </c>
      <c r="AQ433" s="29" t="s">
        <v>926</v>
      </c>
      <c r="AS433" s="37">
        <f>AM433+AN433</f>
        <v>0</v>
      </c>
      <c r="AT433" s="37">
        <f>G433/(100-AU433)*100</f>
        <v>0</v>
      </c>
      <c r="AU433" s="37">
        <v>0</v>
      </c>
      <c r="AV433" s="37">
        <f>L433</f>
        <v>0</v>
      </c>
    </row>
    <row r="434" spans="1:37" ht="12.75">
      <c r="A434" s="5"/>
      <c r="B434" s="13"/>
      <c r="C434" s="13" t="s">
        <v>426</v>
      </c>
      <c r="D434" s="13" t="s">
        <v>824</v>
      </c>
      <c r="E434" s="5" t="s">
        <v>6</v>
      </c>
      <c r="F434" s="5" t="s">
        <v>6</v>
      </c>
      <c r="G434" s="5" t="s">
        <v>6</v>
      </c>
      <c r="H434" s="40">
        <f>SUM(H435:H441)</f>
        <v>0</v>
      </c>
      <c r="I434" s="40">
        <f>SUM(I435:I441)</f>
        <v>0</v>
      </c>
      <c r="J434" s="40">
        <f>H434+I434</f>
        <v>0</v>
      </c>
      <c r="K434" s="29"/>
      <c r="L434" s="40">
        <f>SUM(L435:L441)</f>
        <v>0</v>
      </c>
      <c r="M434" s="29"/>
      <c r="Y434" s="29"/>
      <c r="AI434" s="40">
        <f>SUM(Z435:Z441)</f>
        <v>0</v>
      </c>
      <c r="AJ434" s="40">
        <f>SUM(AA435:AA441)</f>
        <v>0</v>
      </c>
      <c r="AK434" s="40">
        <f>SUM(AB435:AB441)</f>
        <v>0</v>
      </c>
    </row>
    <row r="435" spans="1:48" ht="12.75">
      <c r="A435" s="4" t="s">
        <v>206</v>
      </c>
      <c r="B435" s="4"/>
      <c r="C435" s="4" t="s">
        <v>427</v>
      </c>
      <c r="D435" s="4" t="s">
        <v>825</v>
      </c>
      <c r="E435" s="4" t="s">
        <v>840</v>
      </c>
      <c r="F435" s="19">
        <v>8.4</v>
      </c>
      <c r="G435" s="19">
        <v>0</v>
      </c>
      <c r="H435" s="19">
        <f>F435*AE435</f>
        <v>0</v>
      </c>
      <c r="I435" s="19">
        <f>J435-H435</f>
        <v>0</v>
      </c>
      <c r="J435" s="19">
        <f>F435*G435</f>
        <v>0</v>
      </c>
      <c r="K435" s="19">
        <v>0</v>
      </c>
      <c r="L435" s="19">
        <f>F435*K435</f>
        <v>0</v>
      </c>
      <c r="M435" s="32" t="s">
        <v>863</v>
      </c>
      <c r="P435" s="37">
        <f>IF(AG435="5",J435,0)</f>
        <v>0</v>
      </c>
      <c r="R435" s="37">
        <f>IF(AG435="1",H435,0)</f>
        <v>0</v>
      </c>
      <c r="S435" s="37">
        <f>IF(AG435="1",I435,0)</f>
        <v>0</v>
      </c>
      <c r="T435" s="37">
        <f>IF(AG435="7",H435,0)</f>
        <v>0</v>
      </c>
      <c r="U435" s="37">
        <f>IF(AG435="7",I435,0)</f>
        <v>0</v>
      </c>
      <c r="V435" s="37">
        <f>IF(AG435="2",H435,0)</f>
        <v>0</v>
      </c>
      <c r="W435" s="37">
        <f>IF(AG435="2",I435,0)</f>
        <v>0</v>
      </c>
      <c r="X435" s="37">
        <f>IF(AG435="0",J435,0)</f>
        <v>0</v>
      </c>
      <c r="Y435" s="29"/>
      <c r="Z435" s="19">
        <f>IF(AD435=0,J435,0)</f>
        <v>0</v>
      </c>
      <c r="AA435" s="19">
        <f>IF(AD435=15,J435,0)</f>
        <v>0</v>
      </c>
      <c r="AB435" s="19">
        <f>IF(AD435=21,J435,0)</f>
        <v>0</v>
      </c>
      <c r="AD435" s="37">
        <v>21</v>
      </c>
      <c r="AE435" s="37">
        <f>G435*0</f>
        <v>0</v>
      </c>
      <c r="AF435" s="37">
        <f>G435*(1-0)</f>
        <v>0</v>
      </c>
      <c r="AG435" s="32" t="s">
        <v>11</v>
      </c>
      <c r="AM435" s="37">
        <f>F435*AE435</f>
        <v>0</v>
      </c>
      <c r="AN435" s="37">
        <f>F435*AF435</f>
        <v>0</v>
      </c>
      <c r="AO435" s="38" t="s">
        <v>912</v>
      </c>
      <c r="AP435" s="38" t="s">
        <v>925</v>
      </c>
      <c r="AQ435" s="29" t="s">
        <v>926</v>
      </c>
      <c r="AS435" s="37">
        <f>AM435+AN435</f>
        <v>0</v>
      </c>
      <c r="AT435" s="37">
        <f>G435/(100-AU435)*100</f>
        <v>0</v>
      </c>
      <c r="AU435" s="37">
        <v>0</v>
      </c>
      <c r="AV435" s="37">
        <f>L435</f>
        <v>0</v>
      </c>
    </row>
    <row r="436" spans="1:48" ht="12.75">
      <c r="A436" s="4" t="s">
        <v>207</v>
      </c>
      <c r="B436" s="4"/>
      <c r="C436" s="4" t="s">
        <v>428</v>
      </c>
      <c r="D436" s="4" t="s">
        <v>826</v>
      </c>
      <c r="E436" s="4" t="s">
        <v>840</v>
      </c>
      <c r="F436" s="19">
        <v>75.6</v>
      </c>
      <c r="G436" s="19">
        <v>0</v>
      </c>
      <c r="H436" s="19">
        <f>F436*AE436</f>
        <v>0</v>
      </c>
      <c r="I436" s="19">
        <f>J436-H436</f>
        <v>0</v>
      </c>
      <c r="J436" s="19">
        <f>F436*G436</f>
        <v>0</v>
      </c>
      <c r="K436" s="19">
        <v>0</v>
      </c>
      <c r="L436" s="19">
        <f>F436*K436</f>
        <v>0</v>
      </c>
      <c r="M436" s="32" t="s">
        <v>863</v>
      </c>
      <c r="P436" s="37">
        <f>IF(AG436="5",J436,0)</f>
        <v>0</v>
      </c>
      <c r="R436" s="37">
        <f>IF(AG436="1",H436,0)</f>
        <v>0</v>
      </c>
      <c r="S436" s="37">
        <f>IF(AG436="1",I436,0)</f>
        <v>0</v>
      </c>
      <c r="T436" s="37">
        <f>IF(AG436="7",H436,0)</f>
        <v>0</v>
      </c>
      <c r="U436" s="37">
        <f>IF(AG436="7",I436,0)</f>
        <v>0</v>
      </c>
      <c r="V436" s="37">
        <f>IF(AG436="2",H436,0)</f>
        <v>0</v>
      </c>
      <c r="W436" s="37">
        <f>IF(AG436="2",I436,0)</f>
        <v>0</v>
      </c>
      <c r="X436" s="37">
        <f>IF(AG436="0",J436,0)</f>
        <v>0</v>
      </c>
      <c r="Y436" s="29"/>
      <c r="Z436" s="19">
        <f>IF(AD436=0,J436,0)</f>
        <v>0</v>
      </c>
      <c r="AA436" s="19">
        <f>IF(AD436=15,J436,0)</f>
        <v>0</v>
      </c>
      <c r="AB436" s="19">
        <f>IF(AD436=21,J436,0)</f>
        <v>0</v>
      </c>
      <c r="AD436" s="37">
        <v>21</v>
      </c>
      <c r="AE436" s="37">
        <f>G436*0</f>
        <v>0</v>
      </c>
      <c r="AF436" s="37">
        <f>G436*(1-0)</f>
        <v>0</v>
      </c>
      <c r="AG436" s="32" t="s">
        <v>11</v>
      </c>
      <c r="AM436" s="37">
        <f>F436*AE436</f>
        <v>0</v>
      </c>
      <c r="AN436" s="37">
        <f>F436*AF436</f>
        <v>0</v>
      </c>
      <c r="AO436" s="38" t="s">
        <v>912</v>
      </c>
      <c r="AP436" s="38" t="s">
        <v>925</v>
      </c>
      <c r="AQ436" s="29" t="s">
        <v>926</v>
      </c>
      <c r="AS436" s="37">
        <f>AM436+AN436</f>
        <v>0</v>
      </c>
      <c r="AT436" s="37">
        <f>G436/(100-AU436)*100</f>
        <v>0</v>
      </c>
      <c r="AU436" s="37">
        <v>0</v>
      </c>
      <c r="AV436" s="37">
        <f>L436</f>
        <v>0</v>
      </c>
    </row>
    <row r="437" spans="4:6" ht="12.75">
      <c r="D437" s="15" t="s">
        <v>827</v>
      </c>
      <c r="F437" s="20">
        <v>75.6</v>
      </c>
    </row>
    <row r="438" spans="1:48" ht="12.75">
      <c r="A438" s="4" t="s">
        <v>208</v>
      </c>
      <c r="B438" s="4"/>
      <c r="C438" s="4" t="s">
        <v>429</v>
      </c>
      <c r="D438" s="4" t="s">
        <v>828</v>
      </c>
      <c r="E438" s="4" t="s">
        <v>840</v>
      </c>
      <c r="F438" s="19">
        <v>8.4</v>
      </c>
      <c r="G438" s="19">
        <v>0</v>
      </c>
      <c r="H438" s="19">
        <f>F438*AE438</f>
        <v>0</v>
      </c>
      <c r="I438" s="19">
        <f>J438-H438</f>
        <v>0</v>
      </c>
      <c r="J438" s="19">
        <f>F438*G438</f>
        <v>0</v>
      </c>
      <c r="K438" s="19">
        <v>0</v>
      </c>
      <c r="L438" s="19">
        <f>F438*K438</f>
        <v>0</v>
      </c>
      <c r="M438" s="32" t="s">
        <v>863</v>
      </c>
      <c r="P438" s="37">
        <f>IF(AG438="5",J438,0)</f>
        <v>0</v>
      </c>
      <c r="R438" s="37">
        <f>IF(AG438="1",H438,0)</f>
        <v>0</v>
      </c>
      <c r="S438" s="37">
        <f>IF(AG438="1",I438,0)</f>
        <v>0</v>
      </c>
      <c r="T438" s="37">
        <f>IF(AG438="7",H438,0)</f>
        <v>0</v>
      </c>
      <c r="U438" s="37">
        <f>IF(AG438="7",I438,0)</f>
        <v>0</v>
      </c>
      <c r="V438" s="37">
        <f>IF(AG438="2",H438,0)</f>
        <v>0</v>
      </c>
      <c r="W438" s="37">
        <f>IF(AG438="2",I438,0)</f>
        <v>0</v>
      </c>
      <c r="X438" s="37">
        <f>IF(AG438="0",J438,0)</f>
        <v>0</v>
      </c>
      <c r="Y438" s="29"/>
      <c r="Z438" s="19">
        <f>IF(AD438=0,J438,0)</f>
        <v>0</v>
      </c>
      <c r="AA438" s="19">
        <f>IF(AD438=15,J438,0)</f>
        <v>0</v>
      </c>
      <c r="AB438" s="19">
        <f>IF(AD438=21,J438,0)</f>
        <v>0</v>
      </c>
      <c r="AD438" s="37">
        <v>21</v>
      </c>
      <c r="AE438" s="37">
        <f>G438*0</f>
        <v>0</v>
      </c>
      <c r="AF438" s="37">
        <f>G438*(1-0)</f>
        <v>0</v>
      </c>
      <c r="AG438" s="32" t="s">
        <v>11</v>
      </c>
      <c r="AM438" s="37">
        <f>F438*AE438</f>
        <v>0</v>
      </c>
      <c r="AN438" s="37">
        <f>F438*AF438</f>
        <v>0</v>
      </c>
      <c r="AO438" s="38" t="s">
        <v>912</v>
      </c>
      <c r="AP438" s="38" t="s">
        <v>925</v>
      </c>
      <c r="AQ438" s="29" t="s">
        <v>926</v>
      </c>
      <c r="AS438" s="37">
        <f>AM438+AN438</f>
        <v>0</v>
      </c>
      <c r="AT438" s="37">
        <f>G438/(100-AU438)*100</f>
        <v>0</v>
      </c>
      <c r="AU438" s="37">
        <v>0</v>
      </c>
      <c r="AV438" s="37">
        <f>L438</f>
        <v>0</v>
      </c>
    </row>
    <row r="439" spans="1:48" ht="12.75">
      <c r="A439" s="4" t="s">
        <v>209</v>
      </c>
      <c r="B439" s="4"/>
      <c r="C439" s="4" t="s">
        <v>430</v>
      </c>
      <c r="D439" s="4" t="s">
        <v>829</v>
      </c>
      <c r="E439" s="4" t="s">
        <v>840</v>
      </c>
      <c r="F439" s="19">
        <v>42</v>
      </c>
      <c r="G439" s="19">
        <v>0</v>
      </c>
      <c r="H439" s="19">
        <f>F439*AE439</f>
        <v>0</v>
      </c>
      <c r="I439" s="19">
        <f>J439-H439</f>
        <v>0</v>
      </c>
      <c r="J439" s="19">
        <f>F439*G439</f>
        <v>0</v>
      </c>
      <c r="K439" s="19">
        <v>0</v>
      </c>
      <c r="L439" s="19">
        <f>F439*K439</f>
        <v>0</v>
      </c>
      <c r="M439" s="32" t="s">
        <v>863</v>
      </c>
      <c r="P439" s="37">
        <f>IF(AG439="5",J439,0)</f>
        <v>0</v>
      </c>
      <c r="R439" s="37">
        <f>IF(AG439="1",H439,0)</f>
        <v>0</v>
      </c>
      <c r="S439" s="37">
        <f>IF(AG439="1",I439,0)</f>
        <v>0</v>
      </c>
      <c r="T439" s="37">
        <f>IF(AG439="7",H439,0)</f>
        <v>0</v>
      </c>
      <c r="U439" s="37">
        <f>IF(AG439="7",I439,0)</f>
        <v>0</v>
      </c>
      <c r="V439" s="37">
        <f>IF(AG439="2",H439,0)</f>
        <v>0</v>
      </c>
      <c r="W439" s="37">
        <f>IF(AG439="2",I439,0)</f>
        <v>0</v>
      </c>
      <c r="X439" s="37">
        <f>IF(AG439="0",J439,0)</f>
        <v>0</v>
      </c>
      <c r="Y439" s="29"/>
      <c r="Z439" s="19">
        <f>IF(AD439=0,J439,0)</f>
        <v>0</v>
      </c>
      <c r="AA439" s="19">
        <f>IF(AD439=15,J439,0)</f>
        <v>0</v>
      </c>
      <c r="AB439" s="19">
        <f>IF(AD439=21,J439,0)</f>
        <v>0</v>
      </c>
      <c r="AD439" s="37">
        <v>21</v>
      </c>
      <c r="AE439" s="37">
        <f>G439*0</f>
        <v>0</v>
      </c>
      <c r="AF439" s="37">
        <f>G439*(1-0)</f>
        <v>0</v>
      </c>
      <c r="AG439" s="32" t="s">
        <v>11</v>
      </c>
      <c r="AM439" s="37">
        <f>F439*AE439</f>
        <v>0</v>
      </c>
      <c r="AN439" s="37">
        <f>F439*AF439</f>
        <v>0</v>
      </c>
      <c r="AO439" s="38" t="s">
        <v>912</v>
      </c>
      <c r="AP439" s="38" t="s">
        <v>925</v>
      </c>
      <c r="AQ439" s="29" t="s">
        <v>926</v>
      </c>
      <c r="AS439" s="37">
        <f>AM439+AN439</f>
        <v>0</v>
      </c>
      <c r="AT439" s="37">
        <f>G439/(100-AU439)*100</f>
        <v>0</v>
      </c>
      <c r="AU439" s="37">
        <v>0</v>
      </c>
      <c r="AV439" s="37">
        <f>L439</f>
        <v>0</v>
      </c>
    </row>
    <row r="440" spans="4:6" ht="12.75">
      <c r="D440" s="15" t="s">
        <v>830</v>
      </c>
      <c r="F440" s="20">
        <v>42</v>
      </c>
    </row>
    <row r="441" spans="1:48" ht="12.75">
      <c r="A441" s="7" t="s">
        <v>210</v>
      </c>
      <c r="B441" s="7"/>
      <c r="C441" s="7" t="s">
        <v>431</v>
      </c>
      <c r="D441" s="7" t="s">
        <v>831</v>
      </c>
      <c r="E441" s="7" t="s">
        <v>840</v>
      </c>
      <c r="F441" s="22">
        <v>8.4</v>
      </c>
      <c r="G441" s="22">
        <v>0</v>
      </c>
      <c r="H441" s="22">
        <f>F441*AE441</f>
        <v>0</v>
      </c>
      <c r="I441" s="22">
        <f>J441-H441</f>
        <v>0</v>
      </c>
      <c r="J441" s="22">
        <f>F441*G441</f>
        <v>0</v>
      </c>
      <c r="K441" s="22">
        <v>0</v>
      </c>
      <c r="L441" s="22">
        <f>F441*K441</f>
        <v>0</v>
      </c>
      <c r="M441" s="34" t="s">
        <v>863</v>
      </c>
      <c r="P441" s="37">
        <f>IF(AG441="5",J441,0)</f>
        <v>0</v>
      </c>
      <c r="R441" s="37">
        <f>IF(AG441="1",H441,0)</f>
        <v>0</v>
      </c>
      <c r="S441" s="37">
        <f>IF(AG441="1",I441,0)</f>
        <v>0</v>
      </c>
      <c r="T441" s="37">
        <f>IF(AG441="7",H441,0)</f>
        <v>0</v>
      </c>
      <c r="U441" s="37">
        <f>IF(AG441="7",I441,0)</f>
        <v>0</v>
      </c>
      <c r="V441" s="37">
        <f>IF(AG441="2",H441,0)</f>
        <v>0</v>
      </c>
      <c r="W441" s="37">
        <f>IF(AG441="2",I441,0)</f>
        <v>0</v>
      </c>
      <c r="X441" s="37">
        <f>IF(AG441="0",J441,0)</f>
        <v>0</v>
      </c>
      <c r="Y441" s="29"/>
      <c r="Z441" s="19">
        <f>IF(AD441=0,J441,0)</f>
        <v>0</v>
      </c>
      <c r="AA441" s="19">
        <f>IF(AD441=15,J441,0)</f>
        <v>0</v>
      </c>
      <c r="AB441" s="19">
        <f>IF(AD441=21,J441,0)</f>
        <v>0</v>
      </c>
      <c r="AD441" s="37">
        <v>21</v>
      </c>
      <c r="AE441" s="37">
        <f>G441*0</f>
        <v>0</v>
      </c>
      <c r="AF441" s="37">
        <f>G441*(1-0)</f>
        <v>0</v>
      </c>
      <c r="AG441" s="32" t="s">
        <v>11</v>
      </c>
      <c r="AM441" s="37">
        <f>F441*AE441</f>
        <v>0</v>
      </c>
      <c r="AN441" s="37">
        <f>F441*AF441</f>
        <v>0</v>
      </c>
      <c r="AO441" s="38" t="s">
        <v>912</v>
      </c>
      <c r="AP441" s="38" t="s">
        <v>925</v>
      </c>
      <c r="AQ441" s="29" t="s">
        <v>926</v>
      </c>
      <c r="AS441" s="37">
        <f>AM441+AN441</f>
        <v>0</v>
      </c>
      <c r="AT441" s="37">
        <f>G441/(100-AU441)*100</f>
        <v>0</v>
      </c>
      <c r="AU441" s="37">
        <v>0</v>
      </c>
      <c r="AV441" s="37">
        <f>L441</f>
        <v>0</v>
      </c>
    </row>
    <row r="442" spans="1:13" ht="12.75">
      <c r="A442" s="8"/>
      <c r="B442" s="8"/>
      <c r="C442" s="8"/>
      <c r="D442" s="8"/>
      <c r="E442" s="8"/>
      <c r="F442" s="8"/>
      <c r="G442" s="8"/>
      <c r="H442" s="121" t="s">
        <v>853</v>
      </c>
      <c r="I442" s="109"/>
      <c r="J442" s="41">
        <f>J12+J14+J17+J23+J32+J40+J61+J81+J84+J90+J146+J148+J156+J161+J171+J198+J211+J216+J235+J251+J272+J284+J296+J305+J309+J325+J342+J369+J379+J388+J393+J405+J408+J412+J419+J424+J429+J432+J434</f>
        <v>0</v>
      </c>
      <c r="K442" s="8"/>
      <c r="L442" s="8"/>
      <c r="M442" s="8"/>
    </row>
    <row r="443" ht="11.25" customHeight="1">
      <c r="A443" s="9" t="s">
        <v>211</v>
      </c>
    </row>
    <row r="444" spans="1:13" ht="12.75">
      <c r="A444" s="74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</row>
  </sheetData>
  <sheetProtection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442:I442"/>
    <mergeCell ref="A444:M444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3.421875" style="0" customWidth="1"/>
    <col min="3" max="3" width="48.140625" style="0" customWidth="1"/>
    <col min="5" max="5" width="10.140625" style="0" customWidth="1"/>
    <col min="6" max="6" width="11.421875" style="0" customWidth="1"/>
  </cols>
  <sheetData>
    <row r="1" spans="1:6" ht="12.75">
      <c r="A1" s="68" t="s">
        <v>1051</v>
      </c>
      <c r="B1" s="68"/>
      <c r="C1" s="68" t="s">
        <v>1054</v>
      </c>
      <c r="D1" s="68"/>
      <c r="E1" s="72"/>
      <c r="F1" s="72"/>
    </row>
    <row r="2" spans="1:6" ht="12.75">
      <c r="A2" s="68"/>
      <c r="B2" s="68"/>
      <c r="C2" s="68"/>
      <c r="D2" s="68"/>
      <c r="E2" s="72"/>
      <c r="F2" s="72"/>
    </row>
    <row r="3" spans="1:6" ht="12.75">
      <c r="A3" s="68"/>
      <c r="B3" s="68" t="s">
        <v>1055</v>
      </c>
      <c r="C3" s="68" t="s">
        <v>1056</v>
      </c>
      <c r="D3" s="68"/>
      <c r="E3" s="72" t="s">
        <v>1057</v>
      </c>
      <c r="F3" s="68"/>
    </row>
    <row r="4" spans="1:6" ht="12.75">
      <c r="A4" s="68"/>
      <c r="B4" s="68"/>
      <c r="C4" s="68" t="s">
        <v>1058</v>
      </c>
      <c r="D4" s="68"/>
      <c r="E4" s="72"/>
      <c r="F4" s="72"/>
    </row>
    <row r="5" spans="1:6" ht="12.75">
      <c r="A5" s="68"/>
      <c r="B5" s="68"/>
      <c r="C5" s="68"/>
      <c r="D5" s="68"/>
      <c r="E5" s="72"/>
      <c r="F5" s="72"/>
    </row>
    <row r="6" spans="1:6" ht="12.75">
      <c r="A6" s="68"/>
      <c r="B6" s="68" t="s">
        <v>1059</v>
      </c>
      <c r="C6" s="68" t="s">
        <v>1060</v>
      </c>
      <c r="D6" s="68"/>
      <c r="E6" s="72" t="s">
        <v>1057</v>
      </c>
      <c r="F6" s="68"/>
    </row>
    <row r="7" spans="1:6" ht="12.75">
      <c r="A7" s="68"/>
      <c r="B7" s="68"/>
      <c r="C7" s="68"/>
      <c r="D7" s="68"/>
      <c r="E7" s="72"/>
      <c r="F7" s="72"/>
    </row>
    <row r="8" spans="1:6" ht="12.75">
      <c r="A8" s="68"/>
      <c r="B8" s="68" t="s">
        <v>1061</v>
      </c>
      <c r="C8" s="68" t="s">
        <v>1062</v>
      </c>
      <c r="D8" s="68"/>
      <c r="E8" s="72" t="s">
        <v>1063</v>
      </c>
      <c r="F8" s="72"/>
    </row>
    <row r="9" spans="1:6" ht="12.75">
      <c r="A9" s="68"/>
      <c r="B9" s="68"/>
      <c r="C9" s="68"/>
      <c r="D9" s="68"/>
      <c r="E9" s="72"/>
      <c r="F9" s="72"/>
    </row>
    <row r="10" spans="1:6" ht="12.75">
      <c r="A10" s="68"/>
      <c r="B10" s="68" t="s">
        <v>1064</v>
      </c>
      <c r="C10" s="68"/>
      <c r="D10" s="68"/>
      <c r="E10" s="72"/>
      <c r="F10" s="72"/>
    </row>
    <row r="11" spans="1:6" ht="12.75">
      <c r="A11" s="68"/>
      <c r="B11" s="68"/>
      <c r="C11" s="68"/>
      <c r="D11" s="68"/>
      <c r="E11" s="72"/>
      <c r="F11" s="72"/>
    </row>
    <row r="12" spans="1:8" ht="12.75">
      <c r="A12" s="68"/>
      <c r="B12" s="68"/>
      <c r="C12" s="68"/>
      <c r="D12" s="68"/>
      <c r="E12" s="72"/>
      <c r="F12" s="72"/>
      <c r="H12" s="73"/>
    </row>
    <row r="13" spans="1:6" ht="12.75">
      <c r="A13" s="68"/>
      <c r="B13" s="68"/>
      <c r="C13" s="68"/>
      <c r="D13" s="68"/>
      <c r="E13" s="72"/>
      <c r="F13" s="72"/>
    </row>
    <row r="14" spans="1:6" ht="12.75">
      <c r="A14" s="68" t="s">
        <v>985</v>
      </c>
      <c r="B14" s="68"/>
      <c r="C14" s="68" t="s">
        <v>1065</v>
      </c>
      <c r="D14" s="68"/>
      <c r="E14" s="72" t="s">
        <v>1066</v>
      </c>
      <c r="F14" s="72" t="s">
        <v>1067</v>
      </c>
    </row>
    <row r="15" spans="1:6" ht="12.75">
      <c r="A15" s="68"/>
      <c r="B15" s="68"/>
      <c r="C15" s="68" t="s">
        <v>1068</v>
      </c>
      <c r="D15" s="68"/>
      <c r="E15" s="72">
        <v>0</v>
      </c>
      <c r="F15" s="72"/>
    </row>
    <row r="16" spans="1:6" ht="12.75">
      <c r="A16" s="68"/>
      <c r="B16" s="68"/>
      <c r="C16" s="68" t="s">
        <v>1069</v>
      </c>
      <c r="D16" s="68"/>
      <c r="E16" s="72">
        <v>0</v>
      </c>
      <c r="F16" s="72">
        <v>0</v>
      </c>
    </row>
    <row r="17" spans="1:6" ht="12.75">
      <c r="A17" s="68"/>
      <c r="B17" s="68"/>
      <c r="C17" s="68" t="s">
        <v>1070</v>
      </c>
      <c r="D17" s="68"/>
      <c r="E17" s="72"/>
      <c r="F17" s="72">
        <f>elektro!G72</f>
        <v>0</v>
      </c>
    </row>
    <row r="18" spans="1:6" ht="12.75">
      <c r="A18" s="68"/>
      <c r="B18" s="68"/>
      <c r="C18" s="68" t="s">
        <v>1071</v>
      </c>
      <c r="D18" s="68"/>
      <c r="E18" s="72"/>
      <c r="F18" s="72">
        <f>elektro!I72</f>
        <v>0</v>
      </c>
    </row>
    <row r="19" spans="1:6" ht="12.75">
      <c r="A19" s="68" t="s">
        <v>1072</v>
      </c>
      <c r="B19" s="68"/>
      <c r="C19" s="68" t="s">
        <v>1073</v>
      </c>
      <c r="D19" s="68"/>
      <c r="E19" s="72">
        <v>0</v>
      </c>
      <c r="F19" s="72">
        <f>elektro!J72</f>
        <v>0</v>
      </c>
    </row>
    <row r="20" spans="1:6" ht="12.75">
      <c r="A20" s="68"/>
      <c r="B20" s="68"/>
      <c r="C20" s="68"/>
      <c r="D20" s="68"/>
      <c r="E20" s="72"/>
      <c r="F20" s="72"/>
    </row>
    <row r="21" spans="1:6" ht="12.75">
      <c r="A21" s="68"/>
      <c r="B21" s="68"/>
      <c r="C21" s="68" t="s">
        <v>1103</v>
      </c>
      <c r="D21" s="68"/>
      <c r="E21" s="72"/>
      <c r="F21" s="72">
        <f>F19/100*2</f>
        <v>0</v>
      </c>
    </row>
    <row r="22" spans="1:6" ht="12.75">
      <c r="A22" s="68"/>
      <c r="B22" s="68"/>
      <c r="C22" s="68" t="s">
        <v>1074</v>
      </c>
      <c r="D22" s="68"/>
      <c r="E22" s="72"/>
      <c r="F22" s="72">
        <v>0</v>
      </c>
    </row>
    <row r="23" spans="1:6" ht="12.75">
      <c r="A23" s="68"/>
      <c r="B23" s="68"/>
      <c r="C23" s="68" t="s">
        <v>1075</v>
      </c>
      <c r="D23" s="68"/>
      <c r="E23" s="72"/>
      <c r="F23" s="72">
        <v>0</v>
      </c>
    </row>
    <row r="24" spans="1:6" ht="12.75">
      <c r="A24" s="68"/>
      <c r="B24" s="68"/>
      <c r="C24" s="68" t="s">
        <v>1076</v>
      </c>
      <c r="D24" s="68"/>
      <c r="E24" s="72"/>
      <c r="F24" s="72">
        <v>0</v>
      </c>
    </row>
    <row r="25" spans="1:6" ht="12.75">
      <c r="A25" s="68" t="s">
        <v>1072</v>
      </c>
      <c r="B25" s="68"/>
      <c r="C25" s="68" t="s">
        <v>1077</v>
      </c>
      <c r="D25" s="68"/>
      <c r="E25" s="72">
        <v>0</v>
      </c>
      <c r="F25" s="72">
        <f>SUM(F21:F24)+F19</f>
        <v>0</v>
      </c>
    </row>
    <row r="26" spans="1:6" ht="12.75">
      <c r="A26" s="68"/>
      <c r="B26" s="68"/>
      <c r="C26" s="68"/>
      <c r="D26" s="68"/>
      <c r="E26" s="72"/>
      <c r="F26" s="72"/>
    </row>
    <row r="27" spans="1:6" ht="12.75">
      <c r="A27" s="68"/>
      <c r="B27" s="68"/>
      <c r="C27" s="68" t="s">
        <v>1078</v>
      </c>
      <c r="D27" s="68" t="s">
        <v>1079</v>
      </c>
      <c r="E27" s="72"/>
      <c r="F27" s="72">
        <f>F25/100*2</f>
        <v>0</v>
      </c>
    </row>
    <row r="28" spans="1:6" ht="12.75">
      <c r="A28" s="68"/>
      <c r="B28" s="68"/>
      <c r="C28" s="68" t="s">
        <v>1080</v>
      </c>
      <c r="D28" s="68" t="s">
        <v>1079</v>
      </c>
      <c r="E28" s="72"/>
      <c r="F28" s="72">
        <v>0</v>
      </c>
    </row>
    <row r="29" spans="1:6" ht="12.75">
      <c r="A29" s="68"/>
      <c r="B29" s="68"/>
      <c r="C29" s="68" t="s">
        <v>1081</v>
      </c>
      <c r="D29" s="68" t="s">
        <v>1082</v>
      </c>
      <c r="E29" s="72"/>
      <c r="F29" s="72">
        <v>0</v>
      </c>
    </row>
    <row r="30" spans="1:6" ht="12.75">
      <c r="A30" s="68" t="s">
        <v>1051</v>
      </c>
      <c r="B30" s="68"/>
      <c r="C30" s="68" t="s">
        <v>1083</v>
      </c>
      <c r="D30" s="68" t="s">
        <v>1084</v>
      </c>
      <c r="E30" s="72"/>
      <c r="F30" s="72">
        <f>F27+F25</f>
        <v>0</v>
      </c>
    </row>
    <row r="31" spans="1:6" ht="12.75">
      <c r="A31" s="68"/>
      <c r="B31" s="68"/>
      <c r="C31" s="68"/>
      <c r="D31" s="68"/>
      <c r="E31" s="72"/>
      <c r="F31" s="72"/>
    </row>
    <row r="32" spans="1:6" ht="12.75">
      <c r="A32" s="68" t="s">
        <v>985</v>
      </c>
      <c r="B32" s="68"/>
      <c r="C32" s="68" t="s">
        <v>1085</v>
      </c>
      <c r="D32" s="68"/>
      <c r="E32" s="72"/>
      <c r="F32" s="72"/>
    </row>
    <row r="33" spans="1:6" ht="12.75">
      <c r="A33" s="68"/>
      <c r="B33" s="68"/>
      <c r="C33" s="68" t="s">
        <v>1086</v>
      </c>
      <c r="D33" s="68"/>
      <c r="E33" s="72"/>
      <c r="F33" s="72"/>
    </row>
    <row r="34" spans="1:6" ht="12.75">
      <c r="A34" s="68"/>
      <c r="B34" s="68"/>
      <c r="C34" s="68" t="s">
        <v>1087</v>
      </c>
      <c r="D34" s="68">
        <v>0</v>
      </c>
      <c r="E34" s="72"/>
      <c r="F34" s="72"/>
    </row>
    <row r="35" spans="1:6" ht="12.75">
      <c r="A35" s="68" t="s">
        <v>1051</v>
      </c>
      <c r="B35" s="68"/>
      <c r="C35" s="68" t="s">
        <v>1088</v>
      </c>
      <c r="D35" s="68" t="s">
        <v>1084</v>
      </c>
      <c r="E35" s="72"/>
      <c r="F35" s="72"/>
    </row>
    <row r="36" spans="1:6" ht="12.75">
      <c r="A36" s="68"/>
      <c r="B36" s="68"/>
      <c r="C36" s="68"/>
      <c r="D36" s="68"/>
      <c r="E36" s="72"/>
      <c r="F36" s="72"/>
    </row>
    <row r="37" spans="1:6" ht="12.75">
      <c r="A37" s="68"/>
      <c r="B37" s="68"/>
      <c r="C37" s="68" t="s">
        <v>1089</v>
      </c>
      <c r="D37" s="68"/>
      <c r="E37" s="72"/>
      <c r="F37" s="72">
        <v>0</v>
      </c>
    </row>
    <row r="38" spans="1:6" ht="12.75">
      <c r="A38" s="68" t="s">
        <v>1051</v>
      </c>
      <c r="B38" s="68"/>
      <c r="C38" s="68" t="s">
        <v>1090</v>
      </c>
      <c r="D38" s="68">
        <v>8</v>
      </c>
      <c r="E38" s="72"/>
      <c r="F38" s="72">
        <f>F35+F30+E15</f>
        <v>0</v>
      </c>
    </row>
    <row r="39" spans="1:6" ht="12.75">
      <c r="A39" s="68"/>
      <c r="B39" s="68"/>
      <c r="C39" s="68"/>
      <c r="D39" s="68"/>
      <c r="E39" s="72"/>
      <c r="F39" s="72"/>
    </row>
    <row r="40" spans="1:6" ht="12.75">
      <c r="A40" s="68"/>
      <c r="B40" s="68"/>
      <c r="C40" s="68" t="s">
        <v>1091</v>
      </c>
      <c r="D40" s="68" t="s">
        <v>1092</v>
      </c>
      <c r="E40" s="72" t="s">
        <v>1093</v>
      </c>
      <c r="F40" s="72">
        <v>0</v>
      </c>
    </row>
    <row r="41" spans="1:6" ht="12.75">
      <c r="A41" s="68"/>
      <c r="B41" s="68"/>
      <c r="C41" s="68" t="s">
        <v>1094</v>
      </c>
      <c r="D41" s="68" t="s">
        <v>1095</v>
      </c>
      <c r="E41" s="72" t="s">
        <v>1093</v>
      </c>
      <c r="F41" s="72">
        <v>0</v>
      </c>
    </row>
    <row r="42" spans="1:6" ht="12.75">
      <c r="A42" s="68"/>
      <c r="B42" s="68"/>
      <c r="C42" s="68"/>
      <c r="D42" s="68"/>
      <c r="E42" s="72"/>
      <c r="F42" s="72"/>
    </row>
    <row r="43" spans="1:6" ht="12.75">
      <c r="A43" s="68"/>
      <c r="B43" s="68"/>
      <c r="C43" s="68" t="s">
        <v>1096</v>
      </c>
      <c r="D43" s="68" t="s">
        <v>1097</v>
      </c>
      <c r="E43" s="72" t="s">
        <v>1098</v>
      </c>
      <c r="F43" s="72" t="s">
        <v>1099</v>
      </c>
    </row>
    <row r="44" spans="1:6" ht="12.75">
      <c r="A44" s="68"/>
      <c r="B44" s="68"/>
      <c r="C44" s="68"/>
      <c r="D44" s="68"/>
      <c r="E44" s="72"/>
      <c r="F44" s="72"/>
    </row>
    <row r="45" spans="1:6" ht="12.75">
      <c r="A45" s="68"/>
      <c r="B45" s="68"/>
      <c r="C45" s="68"/>
      <c r="D45" s="68"/>
      <c r="E45" s="72"/>
      <c r="F45" s="72"/>
    </row>
    <row r="46" spans="1:6" ht="12.75">
      <c r="A46" s="68"/>
      <c r="B46" s="68"/>
      <c r="C46" s="68"/>
      <c r="D46" s="68"/>
      <c r="E46" s="72"/>
      <c r="F46" s="72"/>
    </row>
    <row r="47" spans="1:6" ht="12.75">
      <c r="A47" s="68"/>
      <c r="B47" s="68"/>
      <c r="C47" s="68" t="s">
        <v>1100</v>
      </c>
      <c r="D47" s="68"/>
      <c r="E47" s="72"/>
      <c r="F47" s="72"/>
    </row>
    <row r="48" spans="1:6" ht="12.75">
      <c r="A48" s="68"/>
      <c r="B48" s="68"/>
      <c r="C48" s="68"/>
      <c r="D48" s="68"/>
      <c r="E48" s="72"/>
      <c r="F48" s="72"/>
    </row>
    <row r="49" spans="1:6" ht="12.75">
      <c r="A49" s="68"/>
      <c r="B49" s="68"/>
      <c r="C49" s="68" t="s">
        <v>1101</v>
      </c>
      <c r="D49" s="68"/>
      <c r="E49" s="72"/>
      <c r="F49" s="72"/>
    </row>
    <row r="50" spans="1:6" ht="12.75">
      <c r="A50" s="68"/>
      <c r="B50" s="68"/>
      <c r="C50" s="68" t="s">
        <v>1102</v>
      </c>
      <c r="D50" s="68"/>
      <c r="E50" s="72"/>
      <c r="F50" s="7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31">
      <selection activeCell="A52" sqref="A52:IV56"/>
    </sheetView>
  </sheetViews>
  <sheetFormatPr defaultColWidth="9.140625" defaultRowHeight="12.75"/>
  <cols>
    <col min="3" max="3" width="35.57421875" style="0" customWidth="1"/>
    <col min="10" max="10" width="10.7109375" style="0" customWidth="1"/>
  </cols>
  <sheetData>
    <row r="1" spans="1:10" ht="12.75">
      <c r="A1" s="68"/>
      <c r="B1" s="68"/>
      <c r="C1" s="69" t="s">
        <v>978</v>
      </c>
      <c r="D1" s="123" t="s">
        <v>979</v>
      </c>
      <c r="E1" s="123" t="s">
        <v>980</v>
      </c>
      <c r="F1" s="124" t="s">
        <v>981</v>
      </c>
      <c r="G1" s="123" t="s">
        <v>852</v>
      </c>
      <c r="H1" s="124" t="s">
        <v>982</v>
      </c>
      <c r="I1" s="123" t="s">
        <v>858</v>
      </c>
      <c r="J1" s="123" t="s">
        <v>983</v>
      </c>
    </row>
    <row r="2" spans="1:10" ht="12.75">
      <c r="A2" s="68"/>
      <c r="B2" s="68"/>
      <c r="C2" s="70" t="s">
        <v>984</v>
      </c>
      <c r="D2" s="123"/>
      <c r="E2" s="123"/>
      <c r="F2" s="123"/>
      <c r="G2" s="123"/>
      <c r="H2" s="123"/>
      <c r="I2" s="123"/>
      <c r="J2" s="123"/>
    </row>
    <row r="3" spans="1:10" ht="12.75">
      <c r="A3" s="68"/>
      <c r="B3" s="68"/>
      <c r="C3" s="71">
        <v>4</v>
      </c>
      <c r="D3" s="71">
        <v>5</v>
      </c>
      <c r="E3" s="71">
        <v>6</v>
      </c>
      <c r="F3" s="71">
        <v>7</v>
      </c>
      <c r="G3" s="71">
        <v>8</v>
      </c>
      <c r="H3" s="71">
        <v>9</v>
      </c>
      <c r="I3" s="71">
        <v>10</v>
      </c>
      <c r="J3" s="71">
        <v>10</v>
      </c>
    </row>
    <row r="4" spans="1:10" ht="12.75">
      <c r="A4" s="68" t="s">
        <v>985</v>
      </c>
      <c r="B4" s="68">
        <v>46729</v>
      </c>
      <c r="C4" s="68" t="s">
        <v>986</v>
      </c>
      <c r="D4" s="68" t="s">
        <v>845</v>
      </c>
      <c r="E4" s="72">
        <v>1</v>
      </c>
      <c r="F4" s="72">
        <v>0</v>
      </c>
      <c r="G4" s="72">
        <f>E4*F4</f>
        <v>0</v>
      </c>
      <c r="H4" s="72">
        <v>0</v>
      </c>
      <c r="I4" s="72">
        <f>H4*E4</f>
        <v>0</v>
      </c>
      <c r="J4" s="72">
        <f>I4+G4</f>
        <v>0</v>
      </c>
    </row>
    <row r="5" spans="1:10" ht="12.75">
      <c r="A5" s="68" t="s">
        <v>985</v>
      </c>
      <c r="B5" s="68"/>
      <c r="C5" s="68" t="s">
        <v>987</v>
      </c>
      <c r="D5" s="68">
        <v>1182</v>
      </c>
      <c r="E5" s="72"/>
      <c r="F5" s="72"/>
      <c r="G5" s="72"/>
      <c r="H5" s="72"/>
      <c r="I5" s="72"/>
      <c r="J5" s="68"/>
    </row>
    <row r="6" spans="1:10" ht="12.75">
      <c r="A6" s="68"/>
      <c r="B6" s="68">
        <v>12397</v>
      </c>
      <c r="C6" s="68" t="s">
        <v>988</v>
      </c>
      <c r="D6" s="68" t="s">
        <v>845</v>
      </c>
      <c r="E6" s="72">
        <v>2</v>
      </c>
      <c r="F6" s="72">
        <v>0</v>
      </c>
      <c r="G6" s="72">
        <f>E6*F6</f>
        <v>0</v>
      </c>
      <c r="H6" s="72">
        <v>0</v>
      </c>
      <c r="I6" s="72">
        <f>H6*E6</f>
        <v>0</v>
      </c>
      <c r="J6" s="72">
        <f>I6+G6</f>
        <v>0</v>
      </c>
    </row>
    <row r="7" spans="1:10" ht="12.75">
      <c r="A7" s="68" t="s">
        <v>985</v>
      </c>
      <c r="B7" s="68"/>
      <c r="C7" s="68" t="s">
        <v>989</v>
      </c>
      <c r="D7" s="68">
        <v>1182</v>
      </c>
      <c r="E7" s="72"/>
      <c r="F7" s="72"/>
      <c r="G7" s="72"/>
      <c r="H7" s="72"/>
      <c r="I7" s="72"/>
      <c r="J7" s="68"/>
    </row>
    <row r="8" spans="1:10" ht="12.75">
      <c r="A8" s="68"/>
      <c r="B8" s="68">
        <v>12336</v>
      </c>
      <c r="C8" s="68" t="s">
        <v>990</v>
      </c>
      <c r="D8" s="68" t="s">
        <v>845</v>
      </c>
      <c r="E8" s="72">
        <v>4</v>
      </c>
      <c r="F8" s="72">
        <v>0</v>
      </c>
      <c r="G8" s="72">
        <f>E8*F8</f>
        <v>0</v>
      </c>
      <c r="H8" s="72">
        <v>0</v>
      </c>
      <c r="I8" s="72">
        <f>H8*E8</f>
        <v>0</v>
      </c>
      <c r="J8" s="72">
        <f>I8+G8</f>
        <v>0</v>
      </c>
    </row>
    <row r="9" spans="1:10" ht="12.75">
      <c r="A9" s="68" t="s">
        <v>985</v>
      </c>
      <c r="B9" s="68"/>
      <c r="C9" s="68" t="s">
        <v>991</v>
      </c>
      <c r="D9" s="68">
        <v>1182</v>
      </c>
      <c r="E9" s="72"/>
      <c r="F9" s="72"/>
      <c r="G9" s="72"/>
      <c r="H9" s="72"/>
      <c r="I9" s="72"/>
      <c r="J9" s="68"/>
    </row>
    <row r="10" spans="1:10" ht="12.75">
      <c r="A10" s="68"/>
      <c r="B10" s="68">
        <v>12472</v>
      </c>
      <c r="C10" s="68" t="s">
        <v>992</v>
      </c>
      <c r="D10" s="68" t="s">
        <v>845</v>
      </c>
      <c r="E10" s="72">
        <v>1</v>
      </c>
      <c r="F10" s="72">
        <v>0</v>
      </c>
      <c r="G10" s="72">
        <f>E10*F10</f>
        <v>0</v>
      </c>
      <c r="H10" s="72">
        <v>0</v>
      </c>
      <c r="I10" s="72">
        <f>H10*E10</f>
        <v>0</v>
      </c>
      <c r="J10" s="72">
        <f>I10+G10</f>
        <v>0</v>
      </c>
    </row>
    <row r="11" spans="1:10" ht="12.75">
      <c r="A11" s="68" t="s">
        <v>985</v>
      </c>
      <c r="B11" s="68"/>
      <c r="C11" s="68" t="s">
        <v>993</v>
      </c>
      <c r="D11" s="68">
        <v>1102</v>
      </c>
      <c r="E11" s="72"/>
      <c r="F11" s="72"/>
      <c r="G11" s="72"/>
      <c r="H11" s="72"/>
      <c r="I11" s="72"/>
      <c r="J11" s="68"/>
    </row>
    <row r="12" spans="1:10" ht="12.75">
      <c r="A12" s="68"/>
      <c r="B12" s="68">
        <v>7220</v>
      </c>
      <c r="C12" s="68" t="s">
        <v>994</v>
      </c>
      <c r="D12" s="68" t="s">
        <v>845</v>
      </c>
      <c r="E12" s="72">
        <v>7</v>
      </c>
      <c r="F12" s="72">
        <v>0</v>
      </c>
      <c r="G12" s="72">
        <f>E12*F12</f>
        <v>0</v>
      </c>
      <c r="H12" s="72">
        <v>0</v>
      </c>
      <c r="I12" s="72">
        <f>H12*E12</f>
        <v>0</v>
      </c>
      <c r="J12" s="72">
        <f>I12+G12</f>
        <v>0</v>
      </c>
    </row>
    <row r="13" spans="1:10" ht="12.75">
      <c r="A13" s="68" t="s">
        <v>985</v>
      </c>
      <c r="B13" s="68"/>
      <c r="C13" s="68" t="s">
        <v>995</v>
      </c>
      <c r="D13" s="68">
        <v>1151</v>
      </c>
      <c r="E13" s="72"/>
      <c r="F13" s="72"/>
      <c r="G13" s="72"/>
      <c r="H13" s="72"/>
      <c r="I13" s="72"/>
      <c r="J13" s="68"/>
    </row>
    <row r="14" spans="1:10" ht="12.75">
      <c r="A14" s="68"/>
      <c r="B14" s="68">
        <v>20503</v>
      </c>
      <c r="C14" s="68" t="s">
        <v>996</v>
      </c>
      <c r="D14" s="68" t="s">
        <v>845</v>
      </c>
      <c r="E14" s="72">
        <v>1</v>
      </c>
      <c r="F14" s="72">
        <v>0</v>
      </c>
      <c r="G14" s="72">
        <f>E14*F14</f>
        <v>0</v>
      </c>
      <c r="H14" s="72">
        <v>0</v>
      </c>
      <c r="I14" s="72">
        <f>H14*E14</f>
        <v>0</v>
      </c>
      <c r="J14" s="72">
        <f>I14+G14</f>
        <v>0</v>
      </c>
    </row>
    <row r="15" spans="1:10" ht="12.75">
      <c r="A15" s="68" t="s">
        <v>985</v>
      </c>
      <c r="B15" s="68"/>
      <c r="C15" s="68" t="s">
        <v>997</v>
      </c>
      <c r="D15" s="68" t="s">
        <v>998</v>
      </c>
      <c r="E15" s="72"/>
      <c r="F15" s="72"/>
      <c r="G15" s="72"/>
      <c r="H15" s="72"/>
      <c r="I15" s="72"/>
      <c r="J15" s="68"/>
    </row>
    <row r="16" spans="1:10" ht="12.75">
      <c r="A16" s="68" t="s">
        <v>985</v>
      </c>
      <c r="B16" s="68"/>
      <c r="C16" s="68" t="s">
        <v>999</v>
      </c>
      <c r="D16" s="68"/>
      <c r="E16" s="72"/>
      <c r="F16" s="72"/>
      <c r="G16" s="72"/>
      <c r="H16" s="72"/>
      <c r="I16" s="72"/>
      <c r="J16" s="68"/>
    </row>
    <row r="17" spans="1:10" ht="12.75">
      <c r="A17" s="68"/>
      <c r="B17" s="68">
        <v>206019</v>
      </c>
      <c r="C17" s="68" t="s">
        <v>1000</v>
      </c>
      <c r="D17" s="68" t="s">
        <v>845</v>
      </c>
      <c r="E17" s="72">
        <v>4</v>
      </c>
      <c r="F17" s="72">
        <v>0</v>
      </c>
      <c r="G17" s="72">
        <f>E17*F17</f>
        <v>0</v>
      </c>
      <c r="H17" s="72">
        <v>0</v>
      </c>
      <c r="I17" s="72">
        <f>H17*E17</f>
        <v>0</v>
      </c>
      <c r="J17" s="72">
        <f>I17+G17</f>
        <v>0</v>
      </c>
    </row>
    <row r="18" spans="1:10" ht="12.75">
      <c r="A18" s="68" t="s">
        <v>985</v>
      </c>
      <c r="B18" s="68"/>
      <c r="C18" s="68" t="s">
        <v>1001</v>
      </c>
      <c r="D18" s="68"/>
      <c r="E18" s="72"/>
      <c r="F18" s="72"/>
      <c r="G18" s="72"/>
      <c r="H18" s="72"/>
      <c r="I18" s="72"/>
      <c r="J18" s="68"/>
    </row>
    <row r="19" spans="1:10" ht="12.75">
      <c r="A19" s="68" t="s">
        <v>985</v>
      </c>
      <c r="B19" s="68"/>
      <c r="C19" s="68" t="s">
        <v>1002</v>
      </c>
      <c r="D19" s="68"/>
      <c r="E19" s="72"/>
      <c r="F19" s="72"/>
      <c r="G19" s="72"/>
      <c r="H19" s="72"/>
      <c r="I19" s="72"/>
      <c r="J19" s="68"/>
    </row>
    <row r="20" spans="1:10" ht="12.75">
      <c r="A20" s="68"/>
      <c r="B20" s="68">
        <v>206351</v>
      </c>
      <c r="C20" s="68" t="s">
        <v>1003</v>
      </c>
      <c r="D20" s="68" t="s">
        <v>845</v>
      </c>
      <c r="E20" s="72">
        <v>2</v>
      </c>
      <c r="F20" s="72">
        <v>0</v>
      </c>
      <c r="G20" s="72">
        <f>E20*F20</f>
        <v>0</v>
      </c>
      <c r="H20" s="72">
        <v>0</v>
      </c>
      <c r="I20" s="72">
        <f>H20*E20</f>
        <v>0</v>
      </c>
      <c r="J20" s="72">
        <f>I20+G20</f>
        <v>0</v>
      </c>
    </row>
    <row r="21" spans="1:10" ht="12.75">
      <c r="A21" s="68" t="s">
        <v>985</v>
      </c>
      <c r="B21" s="68"/>
      <c r="C21" s="68" t="s">
        <v>1004</v>
      </c>
      <c r="D21" s="68">
        <v>1022</v>
      </c>
      <c r="E21" s="72"/>
      <c r="F21" s="72"/>
      <c r="G21" s="72"/>
      <c r="H21" s="72"/>
      <c r="I21" s="72"/>
      <c r="J21" s="68"/>
    </row>
    <row r="22" spans="1:10" ht="12.75">
      <c r="A22" s="68" t="s">
        <v>985</v>
      </c>
      <c r="B22" s="68"/>
      <c r="C22" s="68" t="s">
        <v>1005</v>
      </c>
      <c r="D22" s="68"/>
      <c r="E22" s="72"/>
      <c r="F22" s="72"/>
      <c r="G22" s="72"/>
      <c r="H22" s="72"/>
      <c r="I22" s="72"/>
      <c r="J22" s="68"/>
    </row>
    <row r="23" spans="1:10" ht="12.75">
      <c r="A23" s="68"/>
      <c r="B23" s="68">
        <v>1238</v>
      </c>
      <c r="C23" s="68" t="s">
        <v>1006</v>
      </c>
      <c r="D23" s="68" t="s">
        <v>845</v>
      </c>
      <c r="E23" s="72">
        <v>1</v>
      </c>
      <c r="F23" s="72">
        <v>0</v>
      </c>
      <c r="G23" s="72">
        <f>E23*F23</f>
        <v>0</v>
      </c>
      <c r="H23" s="72">
        <v>0</v>
      </c>
      <c r="I23" s="72">
        <f>H23*E23</f>
        <v>0</v>
      </c>
      <c r="J23" s="72">
        <f>I23+G23</f>
        <v>0</v>
      </c>
    </row>
    <row r="24" spans="1:10" ht="12.75">
      <c r="A24" s="68" t="s">
        <v>985</v>
      </c>
      <c r="B24" s="68"/>
      <c r="C24" s="68" t="s">
        <v>1007</v>
      </c>
      <c r="D24" s="68" t="s">
        <v>1008</v>
      </c>
      <c r="E24" s="72"/>
      <c r="F24" s="72"/>
      <c r="G24" s="72"/>
      <c r="H24" s="72"/>
      <c r="I24" s="72"/>
      <c r="J24" s="68"/>
    </row>
    <row r="25" spans="1:10" ht="12.75">
      <c r="A25" s="68"/>
      <c r="B25" s="68">
        <v>11513</v>
      </c>
      <c r="C25" s="68" t="s">
        <v>1009</v>
      </c>
      <c r="D25" s="68" t="s">
        <v>845</v>
      </c>
      <c r="E25" s="72">
        <v>1</v>
      </c>
      <c r="F25" s="72">
        <v>0</v>
      </c>
      <c r="G25" s="72">
        <f>E25*F25</f>
        <v>0</v>
      </c>
      <c r="H25" s="72">
        <v>0</v>
      </c>
      <c r="I25" s="72">
        <f>H25*E25</f>
        <v>0</v>
      </c>
      <c r="J25" s="72">
        <f>I25+G25</f>
        <v>0</v>
      </c>
    </row>
    <row r="26" spans="1:10" ht="12.75">
      <c r="A26" s="68" t="s">
        <v>985</v>
      </c>
      <c r="B26" s="68"/>
      <c r="C26" s="68" t="s">
        <v>1010</v>
      </c>
      <c r="D26" s="68">
        <v>1002</v>
      </c>
      <c r="E26" s="72"/>
      <c r="F26" s="72"/>
      <c r="G26" s="72"/>
      <c r="H26" s="72"/>
      <c r="I26" s="72"/>
      <c r="J26" s="68"/>
    </row>
    <row r="27" spans="1:10" ht="12.75">
      <c r="A27" s="68" t="s">
        <v>985</v>
      </c>
      <c r="B27" s="68"/>
      <c r="C27" s="68" t="s">
        <v>1011</v>
      </c>
      <c r="D27" s="68"/>
      <c r="E27" s="72"/>
      <c r="F27" s="72"/>
      <c r="G27" s="72"/>
      <c r="H27" s="72"/>
      <c r="I27" s="72"/>
      <c r="J27" s="68"/>
    </row>
    <row r="28" spans="1:10" ht="12.75">
      <c r="A28" s="68"/>
      <c r="B28" s="68">
        <v>11517</v>
      </c>
      <c r="C28" s="68" t="s">
        <v>1012</v>
      </c>
      <c r="D28" s="68" t="s">
        <v>845</v>
      </c>
      <c r="E28" s="72">
        <v>1</v>
      </c>
      <c r="F28" s="72">
        <v>0</v>
      </c>
      <c r="G28" s="72">
        <f>E28*F28</f>
        <v>0</v>
      </c>
      <c r="H28" s="72">
        <v>0</v>
      </c>
      <c r="I28" s="72">
        <f>H28*E28</f>
        <v>0</v>
      </c>
      <c r="J28" s="72">
        <f>I28+G28</f>
        <v>0</v>
      </c>
    </row>
    <row r="29" spans="1:10" ht="12.75">
      <c r="A29" s="68" t="s">
        <v>985</v>
      </c>
      <c r="B29" s="68"/>
      <c r="C29" s="68" t="s">
        <v>1007</v>
      </c>
      <c r="D29" s="68" t="s">
        <v>1008</v>
      </c>
      <c r="E29" s="72"/>
      <c r="F29" s="72"/>
      <c r="G29" s="72"/>
      <c r="H29" s="72"/>
      <c r="I29" s="72"/>
      <c r="J29" s="68"/>
    </row>
    <row r="30" spans="1:10" ht="12.75">
      <c r="A30" s="68"/>
      <c r="B30" s="68">
        <v>11514</v>
      </c>
      <c r="C30" s="68" t="s">
        <v>1013</v>
      </c>
      <c r="D30" s="68" t="s">
        <v>845</v>
      </c>
      <c r="E30" s="72">
        <v>5</v>
      </c>
      <c r="F30" s="72">
        <v>0</v>
      </c>
      <c r="G30" s="72">
        <f>E30*F30</f>
        <v>0</v>
      </c>
      <c r="H30" s="72">
        <v>0</v>
      </c>
      <c r="I30" s="72">
        <f>H30*E30</f>
        <v>0</v>
      </c>
      <c r="J30" s="72">
        <f>I30+G30</f>
        <v>0</v>
      </c>
    </row>
    <row r="31" spans="1:10" ht="12.75">
      <c r="A31" s="68" t="s">
        <v>985</v>
      </c>
      <c r="B31" s="68"/>
      <c r="C31" s="68" t="s">
        <v>1010</v>
      </c>
      <c r="D31" s="68">
        <v>1002</v>
      </c>
      <c r="E31" s="72"/>
      <c r="F31" s="72"/>
      <c r="G31" s="72"/>
      <c r="H31" s="72"/>
      <c r="I31" s="72"/>
      <c r="J31" s="68"/>
    </row>
    <row r="32" spans="1:10" ht="12.75">
      <c r="A32" s="68" t="s">
        <v>985</v>
      </c>
      <c r="B32" s="68"/>
      <c r="C32" s="68" t="s">
        <v>1011</v>
      </c>
      <c r="D32" s="68"/>
      <c r="E32" s="72"/>
      <c r="F32" s="72"/>
      <c r="G32" s="72"/>
      <c r="H32" s="72"/>
      <c r="I32" s="72"/>
      <c r="J32" s="68"/>
    </row>
    <row r="33" spans="1:10" ht="12.75">
      <c r="A33" s="68"/>
      <c r="B33" s="68">
        <v>11519</v>
      </c>
      <c r="C33" s="68" t="s">
        <v>1014</v>
      </c>
      <c r="D33" s="68" t="s">
        <v>845</v>
      </c>
      <c r="E33" s="72">
        <v>5</v>
      </c>
      <c r="F33" s="72">
        <v>0</v>
      </c>
      <c r="G33" s="72">
        <f>E33*F33</f>
        <v>0</v>
      </c>
      <c r="H33" s="72">
        <v>0</v>
      </c>
      <c r="I33" s="72">
        <f>H33*E33</f>
        <v>0</v>
      </c>
      <c r="J33" s="72">
        <f>I33+G33</f>
        <v>0</v>
      </c>
    </row>
    <row r="34" spans="1:10" ht="12.75">
      <c r="A34" s="68" t="s">
        <v>985</v>
      </c>
      <c r="B34" s="68"/>
      <c r="C34" s="68" t="s">
        <v>1015</v>
      </c>
      <c r="D34" s="68">
        <v>1002</v>
      </c>
      <c r="E34" s="72"/>
      <c r="F34" s="72"/>
      <c r="G34" s="72"/>
      <c r="H34" s="72"/>
      <c r="I34" s="72"/>
      <c r="J34" s="68"/>
    </row>
    <row r="35" spans="1:10" ht="12.75">
      <c r="A35" s="68"/>
      <c r="B35" s="68">
        <v>11484</v>
      </c>
      <c r="C35" s="68" t="s">
        <v>1016</v>
      </c>
      <c r="D35" s="68" t="s">
        <v>845</v>
      </c>
      <c r="E35" s="72">
        <v>4</v>
      </c>
      <c r="F35" s="72">
        <v>0</v>
      </c>
      <c r="G35" s="72">
        <f>E35*F35</f>
        <v>0</v>
      </c>
      <c r="H35" s="72">
        <v>0</v>
      </c>
      <c r="I35" s="72">
        <f>H35*E35</f>
        <v>0</v>
      </c>
      <c r="J35" s="72">
        <f>I35+G35</f>
        <v>0</v>
      </c>
    </row>
    <row r="36" spans="1:10" ht="12.75">
      <c r="A36" s="68" t="s">
        <v>985</v>
      </c>
      <c r="B36" s="68"/>
      <c r="C36" s="68" t="s">
        <v>1017</v>
      </c>
      <c r="D36" s="68">
        <v>1002</v>
      </c>
      <c r="E36" s="72"/>
      <c r="F36" s="72"/>
      <c r="G36" s="72"/>
      <c r="H36" s="72"/>
      <c r="I36" s="72"/>
      <c r="J36" s="68"/>
    </row>
    <row r="37" spans="1:10" ht="12.75">
      <c r="A37" s="68" t="s">
        <v>985</v>
      </c>
      <c r="B37" s="68"/>
      <c r="C37" s="68" t="s">
        <v>1011</v>
      </c>
      <c r="D37" s="68"/>
      <c r="E37" s="72"/>
      <c r="F37" s="72"/>
      <c r="G37" s="72"/>
      <c r="H37" s="72"/>
      <c r="I37" s="72"/>
      <c r="J37" s="68"/>
    </row>
    <row r="38" spans="1:10" ht="12.75">
      <c r="A38" s="68"/>
      <c r="B38" s="68">
        <v>11490</v>
      </c>
      <c r="C38" s="68" t="s">
        <v>1018</v>
      </c>
      <c r="D38" s="68" t="s">
        <v>845</v>
      </c>
      <c r="E38" s="72">
        <v>4</v>
      </c>
      <c r="F38" s="72">
        <v>0</v>
      </c>
      <c r="G38" s="72">
        <f>E38*F38</f>
        <v>0</v>
      </c>
      <c r="H38" s="72">
        <v>0</v>
      </c>
      <c r="I38" s="72">
        <f>H38*E38</f>
        <v>0</v>
      </c>
      <c r="J38" s="72">
        <f>I38+G38</f>
        <v>0</v>
      </c>
    </row>
    <row r="39" spans="1:10" ht="12.75">
      <c r="A39" s="68" t="s">
        <v>985</v>
      </c>
      <c r="B39" s="68"/>
      <c r="C39" s="68" t="s">
        <v>1019</v>
      </c>
      <c r="D39" s="68" t="s">
        <v>1020</v>
      </c>
      <c r="E39" s="72"/>
      <c r="F39" s="72"/>
      <c r="G39" s="72"/>
      <c r="H39" s="72"/>
      <c r="I39" s="72"/>
      <c r="J39" s="68"/>
    </row>
    <row r="40" spans="1:10" ht="12.75">
      <c r="A40" s="68" t="s">
        <v>985</v>
      </c>
      <c r="B40" s="68"/>
      <c r="C40" s="68" t="s">
        <v>1011</v>
      </c>
      <c r="D40" s="68"/>
      <c r="E40" s="72"/>
      <c r="F40" s="72"/>
      <c r="G40" s="72"/>
      <c r="H40" s="72"/>
      <c r="I40" s="72"/>
      <c r="J40" s="68"/>
    </row>
    <row r="41" spans="1:10" ht="12.75">
      <c r="A41" s="68"/>
      <c r="B41" s="68">
        <v>11499</v>
      </c>
      <c r="C41" s="68" t="s">
        <v>1021</v>
      </c>
      <c r="D41" s="68" t="s">
        <v>845</v>
      </c>
      <c r="E41" s="72">
        <v>4</v>
      </c>
      <c r="F41" s="72">
        <v>0</v>
      </c>
      <c r="G41" s="72">
        <f>E41*F41</f>
        <v>0</v>
      </c>
      <c r="H41" s="72">
        <v>0</v>
      </c>
      <c r="I41" s="72">
        <f>H41*E41</f>
        <v>0</v>
      </c>
      <c r="J41" s="72">
        <f>I41+G41</f>
        <v>0</v>
      </c>
    </row>
    <row r="42" spans="1:10" ht="12.75">
      <c r="A42" s="68" t="s">
        <v>985</v>
      </c>
      <c r="B42" s="68"/>
      <c r="C42" s="68" t="s">
        <v>1022</v>
      </c>
      <c r="D42" s="68">
        <v>2030</v>
      </c>
      <c r="E42" s="72"/>
      <c r="F42" s="72"/>
      <c r="G42" s="72"/>
      <c r="H42" s="72"/>
      <c r="I42" s="72"/>
      <c r="J42" s="68"/>
    </row>
    <row r="43" spans="1:10" ht="12.75">
      <c r="A43" s="68"/>
      <c r="B43" s="68">
        <v>54162</v>
      </c>
      <c r="C43" s="68" t="s">
        <v>1023</v>
      </c>
      <c r="D43" s="68" t="s">
        <v>845</v>
      </c>
      <c r="E43" s="72">
        <v>1</v>
      </c>
      <c r="F43" s="72">
        <v>0</v>
      </c>
      <c r="G43" s="72">
        <f>E43*F43</f>
        <v>0</v>
      </c>
      <c r="H43" s="72">
        <v>0</v>
      </c>
      <c r="I43" s="72">
        <f>H43*E43</f>
        <v>0</v>
      </c>
      <c r="J43" s="72">
        <f>I43+G43</f>
        <v>0</v>
      </c>
    </row>
    <row r="44" spans="1:10" ht="12.75">
      <c r="A44" s="68" t="s">
        <v>985</v>
      </c>
      <c r="B44" s="68"/>
      <c r="C44" s="68" t="s">
        <v>1024</v>
      </c>
      <c r="D44" s="68">
        <v>1123</v>
      </c>
      <c r="E44" s="72"/>
      <c r="F44" s="72"/>
      <c r="G44" s="72"/>
      <c r="H44" s="72"/>
      <c r="I44" s="72"/>
      <c r="J44" s="68"/>
    </row>
    <row r="45" spans="1:10" ht="12.75">
      <c r="A45" s="68"/>
      <c r="B45" s="68">
        <v>1163</v>
      </c>
      <c r="C45" s="68" t="s">
        <v>1025</v>
      </c>
      <c r="D45" s="68" t="s">
        <v>845</v>
      </c>
      <c r="E45" s="72">
        <v>6</v>
      </c>
      <c r="F45" s="72">
        <v>0</v>
      </c>
      <c r="G45" s="72">
        <f>E45*F45</f>
        <v>0</v>
      </c>
      <c r="H45" s="72">
        <v>0</v>
      </c>
      <c r="I45" s="72">
        <f>H45*E45</f>
        <v>0</v>
      </c>
      <c r="J45" s="72">
        <f>I45+G45</f>
        <v>0</v>
      </c>
    </row>
    <row r="46" spans="1:10" ht="12.75">
      <c r="A46" s="68" t="s">
        <v>985</v>
      </c>
      <c r="B46" s="68"/>
      <c r="C46" s="68" t="s">
        <v>1026</v>
      </c>
      <c r="D46" s="68">
        <v>1123</v>
      </c>
      <c r="E46" s="72"/>
      <c r="F46" s="72"/>
      <c r="G46" s="72"/>
      <c r="H46" s="72"/>
      <c r="I46" s="72"/>
      <c r="J46" s="68"/>
    </row>
    <row r="47" spans="1:10" ht="12.75">
      <c r="A47" s="68" t="s">
        <v>985</v>
      </c>
      <c r="B47" s="68"/>
      <c r="C47" s="68" t="s">
        <v>1027</v>
      </c>
      <c r="D47" s="68"/>
      <c r="E47" s="72"/>
      <c r="F47" s="72"/>
      <c r="G47" s="72"/>
      <c r="H47" s="72"/>
      <c r="I47" s="72"/>
      <c r="J47" s="68"/>
    </row>
    <row r="48" spans="1:10" ht="12.75">
      <c r="A48" s="68"/>
      <c r="B48" s="68">
        <v>1166</v>
      </c>
      <c r="C48" s="68" t="s">
        <v>1028</v>
      </c>
      <c r="D48" s="68" t="s">
        <v>845</v>
      </c>
      <c r="E48" s="72">
        <v>9</v>
      </c>
      <c r="F48" s="72">
        <v>0</v>
      </c>
      <c r="G48" s="72">
        <f>E48*F48</f>
        <v>0</v>
      </c>
      <c r="H48" s="72">
        <v>0</v>
      </c>
      <c r="I48" s="72">
        <f>H48*E48</f>
        <v>0</v>
      </c>
      <c r="J48" s="72">
        <f>I48+G48</f>
        <v>0</v>
      </c>
    </row>
    <row r="49" spans="1:10" ht="12.75">
      <c r="A49" s="68" t="s">
        <v>985</v>
      </c>
      <c r="B49" s="68"/>
      <c r="C49" s="68" t="s">
        <v>1026</v>
      </c>
      <c r="D49" s="68">
        <v>1123</v>
      </c>
      <c r="E49" s="72"/>
      <c r="F49" s="72"/>
      <c r="G49" s="72"/>
      <c r="H49" s="72"/>
      <c r="I49" s="72"/>
      <c r="J49" s="68"/>
    </row>
    <row r="50" spans="1:10" ht="12.75">
      <c r="A50" s="68" t="s">
        <v>985</v>
      </c>
      <c r="B50" s="68"/>
      <c r="C50" s="68" t="s">
        <v>1029</v>
      </c>
      <c r="D50" s="68"/>
      <c r="E50" s="72"/>
      <c r="F50" s="72"/>
      <c r="G50" s="72"/>
      <c r="H50" s="72"/>
      <c r="I50" s="72"/>
      <c r="J50" s="68"/>
    </row>
    <row r="51" spans="1:10" ht="12.75">
      <c r="A51" s="68"/>
      <c r="B51" s="68">
        <v>1188</v>
      </c>
      <c r="C51" s="68" t="s">
        <v>1030</v>
      </c>
      <c r="D51" s="68" t="s">
        <v>845</v>
      </c>
      <c r="E51" s="72">
        <v>5</v>
      </c>
      <c r="F51" s="72">
        <v>0</v>
      </c>
      <c r="G51" s="72">
        <f aca="true" t="shared" si="0" ref="G51:G69">E51*F51</f>
        <v>0</v>
      </c>
      <c r="H51" s="72">
        <v>0</v>
      </c>
      <c r="I51" s="72">
        <f>H51*E51</f>
        <v>0</v>
      </c>
      <c r="J51" s="72">
        <f>I51+G51</f>
        <v>0</v>
      </c>
    </row>
    <row r="52" spans="1:10" ht="12.75">
      <c r="A52" s="68" t="s">
        <v>985</v>
      </c>
      <c r="B52" s="68"/>
      <c r="C52" s="68" t="s">
        <v>1031</v>
      </c>
      <c r="D52" s="68">
        <v>1122</v>
      </c>
      <c r="E52" s="72"/>
      <c r="F52" s="72"/>
      <c r="G52" s="72"/>
      <c r="H52" s="72"/>
      <c r="I52" s="72"/>
      <c r="J52" s="68"/>
    </row>
    <row r="53" spans="1:10" ht="12.75">
      <c r="A53" s="68"/>
      <c r="B53" s="68">
        <v>8068</v>
      </c>
      <c r="C53" s="68" t="s">
        <v>1032</v>
      </c>
      <c r="D53" s="68" t="s">
        <v>1033</v>
      </c>
      <c r="E53" s="72">
        <v>65</v>
      </c>
      <c r="F53" s="72">
        <v>0</v>
      </c>
      <c r="G53" s="72">
        <f t="shared" si="0"/>
        <v>0</v>
      </c>
      <c r="H53" s="72">
        <v>0</v>
      </c>
      <c r="I53" s="72">
        <f>H53*E53</f>
        <v>0</v>
      </c>
      <c r="J53" s="72">
        <f>I53+G53</f>
        <v>0</v>
      </c>
    </row>
    <row r="54" spans="1:10" ht="12.75">
      <c r="A54" s="68"/>
      <c r="B54" s="68">
        <v>8069</v>
      </c>
      <c r="C54" s="68" t="s">
        <v>1034</v>
      </c>
      <c r="D54" s="68" t="s">
        <v>1033</v>
      </c>
      <c r="E54" s="72">
        <v>125</v>
      </c>
      <c r="F54" s="72">
        <v>0</v>
      </c>
      <c r="G54" s="72">
        <f t="shared" si="0"/>
        <v>0</v>
      </c>
      <c r="H54" s="72">
        <v>0</v>
      </c>
      <c r="I54" s="72">
        <f>H54*E54</f>
        <v>0</v>
      </c>
      <c r="J54" s="72">
        <f>I54+G54</f>
        <v>0</v>
      </c>
    </row>
    <row r="55" spans="1:10" ht="12.75">
      <c r="A55" s="68"/>
      <c r="B55" s="68">
        <v>8078</v>
      </c>
      <c r="C55" s="68" t="s">
        <v>1035</v>
      </c>
      <c r="D55" s="68" t="s">
        <v>1033</v>
      </c>
      <c r="E55" s="72">
        <v>30</v>
      </c>
      <c r="F55" s="72">
        <v>0</v>
      </c>
      <c r="G55" s="72">
        <f t="shared" si="0"/>
        <v>0</v>
      </c>
      <c r="H55" s="72">
        <v>0</v>
      </c>
      <c r="I55" s="72">
        <f>H55*E55</f>
        <v>0</v>
      </c>
      <c r="J55" s="72">
        <f>I55+G55</f>
        <v>0</v>
      </c>
    </row>
    <row r="56" spans="1:10" ht="12.75">
      <c r="A56" s="68" t="s">
        <v>985</v>
      </c>
      <c r="B56" s="68"/>
      <c r="C56" s="68" t="s">
        <v>1036</v>
      </c>
      <c r="D56" s="68">
        <v>2025</v>
      </c>
      <c r="E56" s="72"/>
      <c r="F56" s="72"/>
      <c r="G56" s="72"/>
      <c r="H56" s="72"/>
      <c r="I56" s="72"/>
      <c r="J56" s="68"/>
    </row>
    <row r="57" spans="1:10" ht="12.75">
      <c r="A57" s="68" t="s">
        <v>985</v>
      </c>
      <c r="B57" s="68"/>
      <c r="C57" s="68" t="s">
        <v>1037</v>
      </c>
      <c r="D57" s="68"/>
      <c r="E57" s="72"/>
      <c r="F57" s="72"/>
      <c r="G57" s="72"/>
      <c r="H57" s="72"/>
      <c r="I57" s="72"/>
      <c r="J57" s="68"/>
    </row>
    <row r="58" spans="1:10" ht="12.75">
      <c r="A58" s="68"/>
      <c r="B58" s="68">
        <v>64149</v>
      </c>
      <c r="C58" s="68" t="s">
        <v>1038</v>
      </c>
      <c r="D58" s="68" t="s">
        <v>837</v>
      </c>
      <c r="E58" s="72">
        <v>85</v>
      </c>
      <c r="F58" s="72">
        <v>0</v>
      </c>
      <c r="G58" s="72">
        <f t="shared" si="0"/>
        <v>0</v>
      </c>
      <c r="H58" s="72">
        <v>0</v>
      </c>
      <c r="I58" s="72">
        <f>H58*E58</f>
        <v>0</v>
      </c>
      <c r="J58" s="72">
        <f>I58+G58</f>
        <v>0</v>
      </c>
    </row>
    <row r="59" spans="1:10" ht="12.75">
      <c r="A59" s="68" t="s">
        <v>985</v>
      </c>
      <c r="B59" s="68"/>
      <c r="C59" s="68" t="s">
        <v>1039</v>
      </c>
      <c r="D59" s="68">
        <v>1123</v>
      </c>
      <c r="E59" s="72"/>
      <c r="F59" s="72"/>
      <c r="G59" s="72"/>
      <c r="H59" s="72"/>
      <c r="I59" s="72"/>
      <c r="J59" s="68"/>
    </row>
    <row r="60" spans="1:10" ht="12.75">
      <c r="A60" s="68"/>
      <c r="B60" s="68">
        <v>1017</v>
      </c>
      <c r="C60" s="68" t="s">
        <v>1040</v>
      </c>
      <c r="D60" s="68" t="s">
        <v>837</v>
      </c>
      <c r="E60" s="72">
        <v>75</v>
      </c>
      <c r="F60" s="72">
        <v>0</v>
      </c>
      <c r="G60" s="72">
        <f t="shared" si="0"/>
        <v>0</v>
      </c>
      <c r="H60" s="72">
        <v>0</v>
      </c>
      <c r="I60" s="72">
        <f>H60*E60</f>
        <v>0</v>
      </c>
      <c r="J60" s="72">
        <f>I60+G60</f>
        <v>0</v>
      </c>
    </row>
    <row r="61" spans="1:10" ht="12.75">
      <c r="A61" s="68" t="s">
        <v>985</v>
      </c>
      <c r="B61" s="68"/>
      <c r="C61" s="68" t="s">
        <v>1041</v>
      </c>
      <c r="D61" s="68" t="s">
        <v>1042</v>
      </c>
      <c r="E61" s="72"/>
      <c r="F61" s="72"/>
      <c r="G61" s="72"/>
      <c r="H61" s="72"/>
      <c r="I61" s="72"/>
      <c r="J61" s="68"/>
    </row>
    <row r="62" spans="1:10" ht="12.75">
      <c r="A62" s="68"/>
      <c r="B62" s="68">
        <v>1174</v>
      </c>
      <c r="C62" s="68" t="s">
        <v>1043</v>
      </c>
      <c r="D62" s="68" t="s">
        <v>837</v>
      </c>
      <c r="E62" s="72">
        <v>35</v>
      </c>
      <c r="F62" s="72">
        <v>0</v>
      </c>
      <c r="G62" s="72">
        <f t="shared" si="0"/>
        <v>0</v>
      </c>
      <c r="H62" s="72">
        <v>0</v>
      </c>
      <c r="I62" s="72">
        <f>H62*E62</f>
        <v>0</v>
      </c>
      <c r="J62" s="72">
        <f>I62+G62</f>
        <v>0</v>
      </c>
    </row>
    <row r="63" spans="1:10" ht="12.75">
      <c r="A63" s="68" t="s">
        <v>985</v>
      </c>
      <c r="B63" s="68"/>
      <c r="C63" s="68" t="s">
        <v>1044</v>
      </c>
      <c r="D63" s="68"/>
      <c r="E63" s="72"/>
      <c r="F63" s="72"/>
      <c r="G63" s="72"/>
      <c r="H63" s="72"/>
      <c r="I63" s="72"/>
      <c r="J63" s="68"/>
    </row>
    <row r="64" spans="1:10" ht="12.75">
      <c r="A64" s="68"/>
      <c r="B64" s="68">
        <v>41017</v>
      </c>
      <c r="C64" s="68" t="s">
        <v>1045</v>
      </c>
      <c r="D64" s="68" t="s">
        <v>1046</v>
      </c>
      <c r="E64" s="72">
        <v>20</v>
      </c>
      <c r="F64" s="72">
        <v>0</v>
      </c>
      <c r="G64" s="72">
        <f t="shared" si="0"/>
        <v>0</v>
      </c>
      <c r="H64" s="72">
        <v>0</v>
      </c>
      <c r="I64" s="72">
        <f>H64*E64</f>
        <v>0</v>
      </c>
      <c r="J64" s="72">
        <f>I64+G64</f>
        <v>0</v>
      </c>
    </row>
    <row r="65" spans="1:10" ht="12.75">
      <c r="A65" s="68"/>
      <c r="B65" s="68">
        <v>41017</v>
      </c>
      <c r="C65" s="68" t="s">
        <v>1045</v>
      </c>
      <c r="D65" s="68" t="s">
        <v>1046</v>
      </c>
      <c r="E65" s="72">
        <v>20</v>
      </c>
      <c r="F65" s="72">
        <v>0</v>
      </c>
      <c r="G65" s="72">
        <f t="shared" si="0"/>
        <v>0</v>
      </c>
      <c r="H65" s="72">
        <v>0</v>
      </c>
      <c r="I65" s="72">
        <f>H65*E65</f>
        <v>0</v>
      </c>
      <c r="J65" s="72">
        <f>I65+G65</f>
        <v>0</v>
      </c>
    </row>
    <row r="66" spans="1:10" ht="12.75">
      <c r="A66" s="68"/>
      <c r="B66" s="68">
        <v>41017</v>
      </c>
      <c r="C66" s="68" t="s">
        <v>1045</v>
      </c>
      <c r="D66" s="68" t="s">
        <v>1046</v>
      </c>
      <c r="E66" s="72">
        <v>5</v>
      </c>
      <c r="F66" s="72">
        <v>0</v>
      </c>
      <c r="G66" s="72">
        <f t="shared" si="0"/>
        <v>0</v>
      </c>
      <c r="H66" s="72">
        <v>0</v>
      </c>
      <c r="I66" s="72">
        <f>H66*E66</f>
        <v>0</v>
      </c>
      <c r="J66" s="72">
        <f>I66+G66</f>
        <v>0</v>
      </c>
    </row>
    <row r="67" spans="1:10" ht="12.75">
      <c r="A67" s="68" t="s">
        <v>985</v>
      </c>
      <c r="B67" s="68"/>
      <c r="C67" s="68" t="s">
        <v>1047</v>
      </c>
      <c r="D67" s="68"/>
      <c r="E67" s="72"/>
      <c r="F67" s="72"/>
      <c r="G67" s="72"/>
      <c r="H67" s="72"/>
      <c r="I67" s="72"/>
      <c r="J67" s="68"/>
    </row>
    <row r="68" spans="1:10" ht="12.75">
      <c r="A68" s="68" t="s">
        <v>985</v>
      </c>
      <c r="B68" s="68"/>
      <c r="C68" s="68" t="s">
        <v>1048</v>
      </c>
      <c r="D68" s="68"/>
      <c r="E68" s="72"/>
      <c r="F68" s="72"/>
      <c r="G68" s="72"/>
      <c r="H68" s="72"/>
      <c r="I68" s="72"/>
      <c r="J68" s="68"/>
    </row>
    <row r="69" spans="1:10" ht="12.75">
      <c r="A69" s="68"/>
      <c r="B69" s="68">
        <v>41014</v>
      </c>
      <c r="C69" s="68" t="s">
        <v>1049</v>
      </c>
      <c r="D69" s="68" t="s">
        <v>1046</v>
      </c>
      <c r="E69" s="72">
        <v>15</v>
      </c>
      <c r="F69" s="72">
        <v>0</v>
      </c>
      <c r="G69" s="72">
        <f t="shared" si="0"/>
        <v>0</v>
      </c>
      <c r="H69" s="72">
        <v>0</v>
      </c>
      <c r="I69" s="72">
        <f>H69*E69</f>
        <v>0</v>
      </c>
      <c r="J69" s="72">
        <f>I69+G69</f>
        <v>0</v>
      </c>
    </row>
    <row r="70" spans="1:10" ht="12.75">
      <c r="A70" s="68"/>
      <c r="B70" s="68"/>
      <c r="C70" s="68"/>
      <c r="D70" s="68"/>
      <c r="E70" s="72"/>
      <c r="F70" s="72"/>
      <c r="G70" s="72"/>
      <c r="H70" s="72"/>
      <c r="I70" s="72"/>
      <c r="J70" s="68"/>
    </row>
    <row r="71" spans="1:10" ht="12.75">
      <c r="A71" s="68"/>
      <c r="B71" s="68"/>
      <c r="C71" s="68" t="s">
        <v>1050</v>
      </c>
      <c r="D71" s="68"/>
      <c r="E71" s="72"/>
      <c r="F71" s="72"/>
      <c r="G71" s="72"/>
      <c r="H71" s="72"/>
      <c r="I71" s="72"/>
      <c r="J71" s="68"/>
    </row>
    <row r="72" spans="1:10" ht="12.75">
      <c r="A72" s="68" t="s">
        <v>1051</v>
      </c>
      <c r="B72" s="68"/>
      <c r="C72" s="68" t="s">
        <v>1052</v>
      </c>
      <c r="D72" s="68"/>
      <c r="E72" s="72"/>
      <c r="F72" s="72"/>
      <c r="G72" s="72">
        <f>SUM(G4:G71)</f>
        <v>0</v>
      </c>
      <c r="H72" s="72"/>
      <c r="I72" s="72">
        <f>SUM(I4:I71)</f>
        <v>0</v>
      </c>
      <c r="J72" s="72">
        <f>SUM(J4:J71)</f>
        <v>0</v>
      </c>
    </row>
    <row r="73" spans="1:10" ht="12.75">
      <c r="A73" s="68"/>
      <c r="B73" s="68"/>
      <c r="C73" s="68"/>
      <c r="D73" s="68"/>
      <c r="E73" s="72"/>
      <c r="F73" s="72"/>
      <c r="G73" s="72"/>
      <c r="H73" s="72"/>
      <c r="I73" s="72"/>
      <c r="J73" s="68"/>
    </row>
    <row r="74" spans="1:10" ht="12.75">
      <c r="A74" s="68"/>
      <c r="B74" s="68"/>
      <c r="C74" s="68" t="s">
        <v>1053</v>
      </c>
      <c r="D74" s="68"/>
      <c r="E74" s="72"/>
      <c r="F74" s="72"/>
      <c r="G74" s="72"/>
      <c r="H74" s="72"/>
      <c r="I74" s="72">
        <v>196</v>
      </c>
      <c r="J74" s="68"/>
    </row>
  </sheetData>
  <sheetProtection/>
  <mergeCells count="7">
    <mergeCell ref="J1:J2"/>
    <mergeCell ref="D1:D2"/>
    <mergeCell ref="E1:E2"/>
    <mergeCell ref="F1:F2"/>
    <mergeCell ref="G1:G2"/>
    <mergeCell ref="H1:H2"/>
    <mergeCell ref="I1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Holík</dc:creator>
  <cp:keywords/>
  <dc:description/>
  <cp:lastModifiedBy>Holík</cp:lastModifiedBy>
  <cp:lastPrinted>2018-04-12T06:35:15Z</cp:lastPrinted>
  <dcterms:created xsi:type="dcterms:W3CDTF">2018-04-12T06:31:05Z</dcterms:created>
  <dcterms:modified xsi:type="dcterms:W3CDTF">2018-04-20T10:22:54Z</dcterms:modified>
  <cp:category/>
  <cp:version/>
  <cp:contentType/>
  <cp:contentStatus/>
</cp:coreProperties>
</file>