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9200" windowHeight="1209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externalReferences>
    <externalReference r:id="rId8"/>
  </externalReferences>
  <definedNames>
    <definedName name="_xlnm.Print_Titles" localSheetId="4">'Rekapitulace'!$1:$2</definedName>
    <definedName name="_xlnm.Print_Titles" localSheetId="3">'Rozpočet'!$1:$2</definedName>
    <definedName name="_xlnm.Print_Area" localSheetId="1">'Krycí list'!$A$1:$N$36</definedName>
    <definedName name="_xlnm.Print_Area" localSheetId="2">'Přirážky'!$A$1:$H$19</definedName>
    <definedName name="_xlnm.Print_Area" localSheetId="4">'Rekapitulace'!$A$1:$I$13</definedName>
    <definedName name="_xlnm.Print_Area" localSheetId="3">'Rozpočet'!$A$1:$M$44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J12" authorId="0">
      <text>
        <r>
          <rPr>
            <b/>
            <sz val="8"/>
            <rFont val="Tahoma"/>
            <family val="2"/>
          </rPr>
          <t>Zde můžete změnit procentní sazbu DPH pro ostatní náklady.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sz val="8"/>
            <rFont val="Tahoma"/>
            <family val="2"/>
          </rPr>
          <t xml:space="preserve">Zde zadávejte libovolnou sazbu DPH, která se vyskytuje v sekci rozpočet. Zadávejte pouze číslo!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B1" authorId="0">
      <text>
        <r>
          <rPr>
            <b/>
            <sz val="8"/>
            <rFont val="Tahoma"/>
            <family val="2"/>
          </rPr>
          <t>Martin Fontan:</t>
        </r>
        <r>
          <rPr>
            <sz val="8"/>
            <rFont val="Tahoma"/>
            <family val="2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<sst xmlns="http://schemas.openxmlformats.org/spreadsheetml/2006/main" count="296" uniqueCount="202">
  <si>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</si>
  <si>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</si>
  <si>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</si>
  <si>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</si>
  <si>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</si>
  <si>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</si>
  <si>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</si>
  <si>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</si>
  <si>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</si>
  <si>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</si>
  <si>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</si>
  <si>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</si>
  <si>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</si>
  <si>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</si>
  <si>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 xml:space="preserve"> </t>
  </si>
  <si>
    <t>SCHVÁLIL:</t>
  </si>
  <si>
    <t>DATUM ZPRACOVÁNÍ:</t>
  </si>
  <si>
    <t>DNE:</t>
  </si>
  <si>
    <t xml:space="preserve">U080110                        KYNŠPERK - KOLOVÁ - UBYTOVNA D - 054                           KYNŠPERK - KOLOVÁ - UBYTOVNA D - 054                           0000                                                                                                                                                      000000000000000000000000000000000000000000000000000000002012071020120710                0000000000100000                                                                                                                                                                  </t>
  </si>
  <si>
    <t>C:\Program Files\WinKaRoK\Texty</t>
  </si>
  <si>
    <t>80110</t>
  </si>
  <si>
    <t/>
  </si>
  <si>
    <t xml:space="preserve">  </t>
  </si>
  <si>
    <t xml:space="preserve">    /  /  </t>
  </si>
  <si>
    <t xml:space="preserve">         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</si>
  <si>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</si>
  <si>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</si>
  <si>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</si>
  <si>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</si>
  <si>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</si>
  <si>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</si>
  <si>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</si>
  <si>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</si>
  <si>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Koef.</t>
  </si>
  <si>
    <t>VPH</t>
  </si>
  <si>
    <t>cen.</t>
  </si>
  <si>
    <t>položky</t>
  </si>
  <si>
    <t>jedn.</t>
  </si>
  <si>
    <t>Jedn.cena</t>
  </si>
  <si>
    <t>Výsl.j.cena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</si>
  <si>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</si>
  <si>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</si>
  <si>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</si>
  <si>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</si>
  <si>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</si>
  <si>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</si>
  <si>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</si>
  <si>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</si>
  <si>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</si>
  <si>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PŘIDRUŽENÁ STAVEBNÍ VÝROBA</t>
  </si>
  <si>
    <t>713 Izolace tepelné</t>
  </si>
  <si>
    <t>713</t>
  </si>
  <si>
    <t>713493119</t>
  </si>
  <si>
    <t xml:space="preserve">m      </t>
  </si>
  <si>
    <t>--</t>
  </si>
  <si>
    <t xml:space="preserve">P7713713493119000000001m      Izolace potrubí PAROC 42/25mm                                                                                                                                                                                                                                  07130000002378800000000000000000000000000000000000000000000000000000000000000000000000000000000000000000000000000000000000000000000000000000000237880000000002000000                  000000000580                                                0100001000000000011894                                                                                       000000011894000P0----      </t>
  </si>
  <si>
    <t>713493121</t>
  </si>
  <si>
    <t>Izolace potrubí PAROC 76/30mm</t>
  </si>
  <si>
    <t xml:space="preserve">P7713713493121000000001m      Izolace potrubí PAROC 76/30mm                                                                                                                                                                                                                                  07130000001003620000000000000000000000000000000000000000000000000000000000000000000000000000000000000000000000000000000000000000000000000000000100362000000000600000                  000000000180                                                0100001000000000016727                                                                                       000000016727000P0----      </t>
  </si>
  <si>
    <t>713493125</t>
  </si>
  <si>
    <t>Izolace potrubí PAROC 89/40mm</t>
  </si>
  <si>
    <t xml:space="preserve">P7713713493125000000001m      Izolace potrubí PAROC 89/40mm                                                                                                                                                                                                                                  07130000002570000000000000000000000000000000000000000000000000000000000000000000000000000000000000000000000000000000000000000000000000000000000257000000000001000000                  000000000320                                                0100001000000000025700                                                                                       000000025700000P0----      </t>
  </si>
  <si>
    <t>713 Izolace tepelné CELKEM Kč:</t>
  </si>
  <si>
    <t>722 Vnitřní vodovod</t>
  </si>
  <si>
    <t>721</t>
  </si>
  <si>
    <t>722231064</t>
  </si>
  <si>
    <t>Ventil zpětný VE 3030 G 5/4"</t>
  </si>
  <si>
    <t xml:space="preserve">kus    </t>
  </si>
  <si>
    <t xml:space="preserve">P7721722231064000000600kus    Ventil zpětný VE 3030 G 5/4"                                                                                                                                                                                                                                   07200000000040830000000030250000000005040000000010590000000000000000000000000000000305460000000065360000000029400000000018260000000017700000000041165000000000100000                  000000000100                                                0100001000000000041165                                                                                       000000041164686P0----      </t>
  </si>
  <si>
    <t>722 Vnitřní vodovod CELKEM Kč:</t>
  </si>
  <si>
    <t>732 Strojovny ústředního vytápění</t>
  </si>
  <si>
    <t>731</t>
  </si>
  <si>
    <t>732111128</t>
  </si>
  <si>
    <t>Rozdělovače a sběrače těleso DN 125 1,2m</t>
  </si>
  <si>
    <t xml:space="preserve">P7731732111128000000600kus    Rozdělovače a sběrače těleso DN 125 1,2m                                                                                                                                                                                                                       07300000008500000000000000000000000000000000000000000000000000000000000000000000000000000000000000000000000000000000000000000000000000000000000850000000000000100000                  000000007691                                                0100001000000000850000                                                                                       000000850000000P0----      </t>
  </si>
  <si>
    <t>spec.</t>
  </si>
  <si>
    <t>4239277400</t>
  </si>
  <si>
    <t>Stojan k rozdělovači a sběrači</t>
  </si>
  <si>
    <t xml:space="preserve">P7   732111128000000600kus    Stojan k rozdělovači a sběrači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000000280000                                                0000000280000000000000100000423927740000000000000000000559                                                0100001000000000280000                                                                                       000000280000000S0----      </t>
  </si>
  <si>
    <t>732111132</t>
  </si>
  <si>
    <t>Rozdělovače a sběrače těleso DN 150 1,8m</t>
  </si>
  <si>
    <t xml:space="preserve">P7731732111132000000600kus    Rozdělovače a sběrače těleso DN 150 1,8m                                                                                                                                                                                                                       07300000011950000000000000000000000000000000000000000000000000000000000000000000000000000000000000000000000000000000000000000000000000000000001195000000000000100000                  000000008183                                                0100001000000001195000                                                                                       000001195000000P0----      </t>
  </si>
  <si>
    <t>4239277600</t>
  </si>
  <si>
    <t xml:space="preserve">P7   732111132000000600kus    Stojan k rozdělovači a sběrači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000000450000                                                0000000450000000000000100000423927760000000000000000000773                                                0100001000000000450000                                                                                       000000450000000S0----      </t>
  </si>
  <si>
    <t>732 Strojovny ústředního vytápění CELKEM Kč:</t>
  </si>
  <si>
    <t>733 Rozvod potrubí ústředního vytápění</t>
  </si>
  <si>
    <t>733111217</t>
  </si>
  <si>
    <t xml:space="preserve">P7731733111217000000001m      Potrubí záv.zes.kotelny,stroj DN 40                                                                                                                                                                                                                            07300000002893700000002143480000000357250000000750220000000000000000000000000000006497620000004631770000002083460000001294060000001254240000001402309000000002000000                  000000018728                                                0100001000000000070115                                                                                       000000070115471P0----      </t>
  </si>
  <si>
    <t>733111218</t>
  </si>
  <si>
    <t xml:space="preserve">P7731733111218000000001m      Potrubí záv.zes.kotelny,stroj DN 50                                                                                                                                                                                                                            07300000004579240000003392030000000565340000001187210000000000000000000000000000012487550000007329720000003297050000002047840000001984830000002439651000000002800000                  000000032312                                                0100001000000000087130                                                                                       000000087130376P0----      </t>
  </si>
  <si>
    <t>733121222</t>
  </si>
  <si>
    <t xml:space="preserve">P7731733121222000000001m      Potrubí hlad.kotelny,stroj D 76/3,2                                                                                                                                                                                                                            07300000000911080000000674880000000112480000000236210000000000000000000000000000003316270000001458320000000655980000000407440000000394900000000568566000000000600000                  000000005770                                                0100001000000000094761                                                                                       000000094761066P0----      </t>
  </si>
  <si>
    <t>733121225</t>
  </si>
  <si>
    <t xml:space="preserve">P7731733121225000000001m      Potrubí hlad.kotelny,stroj D 89/3,6                                                                                                                                                                                                                            07300000001704440000001262550000000210420000000441890000000000000000000000000000006630640000002728190000001227200000000762220000000738770000001106327000000001000000                  000000013446                                                0100001000000000110633                                                                                       000000110632661P0----      </t>
  </si>
  <si>
    <t>733173992</t>
  </si>
  <si>
    <t xml:space="preserve">P7731733173992000000001m      Tlak zkouška potr.plast do d 50/4,6                                                                                                                                                                                                                            01010000000296110000000219340000000036560000000076770000000000000000000000000000000007450000000473970000000213200000000132420000000128350000000077753000000004800000                  000000022656                                                0100001000000000001620                                                                                       000000001619853P0----      </t>
  </si>
  <si>
    <t>733190225</t>
  </si>
  <si>
    <t xml:space="preserve">P7731733190225000000001m      Tlak.zkouška potr.hlad.D 89/3,6                                                                                                                                                                                                                                07300000000118440000000087740000000014620000000030710000000000000000000000000000000012640000000189590000000085280000000052970000000051340000000032067000000001600000                  000000000000                                                0100001000000000002004                                                                                       000000002004216P0----      </t>
  </si>
  <si>
    <t>733194944</t>
  </si>
  <si>
    <t>Uchycení potrubí</t>
  </si>
  <si>
    <t xml:space="preserve">P7731733194944000000600kus    Uchycení potrubí                                                                                                                                                                                                                                               07300000012500000000000000000000000000000000000000000000000000000000000000000000000000000000000000000000000000000000000000000000000000000000001250000000000000100000                  000000000354                                                0100001000000001250000                                                                                       000001250000000P0----      </t>
  </si>
  <si>
    <t>733 Rozvod potrubí ústředního vytápění CELKEM Kč:</t>
  </si>
  <si>
    <t>734 Armatury ústředního vytápění</t>
  </si>
  <si>
    <t>734192417</t>
  </si>
  <si>
    <t>Klapka zpět. P16 DN 80</t>
  </si>
  <si>
    <t xml:space="preserve">soubor </t>
  </si>
  <si>
    <t xml:space="preserve">P7731734192417000000650soubor Klapka zpět. P16 DN 80                                                                                                                                                                                                                                         07300000017380000000000000000000000000000000000000000000000000000000000000000000000000000000000000000000000000000000000000000000000000000000001738000000000000200000                  000000006866                                                0100001000000000869000                                                                                       000000869000000P0----      </t>
  </si>
  <si>
    <t>734192442</t>
  </si>
  <si>
    <t>Čerpadlo Willo TOP-S50/7 230V vč . izol. pouzdra</t>
  </si>
  <si>
    <t xml:space="preserve">P7731734192442000000650soubor Čerpadlo Willo TOP-S50/7 230V vč . izol. pouzdra                                                                                                                                                                                                               07300000022500000000000000000000000000000000000000000000000000000000000000000000000000000000000000000000000000000000000000000000000000000000002250000000000000100000                  000000007479                                                0100001000000002250000                                                                                       000002250000000P0----      </t>
  </si>
  <si>
    <t>734211147</t>
  </si>
  <si>
    <t>Ventil odvzdušňovací automat. R 88 G 1/2</t>
  </si>
  <si>
    <t xml:space="preserve">P7731734211147000000600kus    Ventil odvzdušňovací automat. R 88 G 1/2                                                                                                                                                                                                                       07300000000018820000000013940000000002320000000004880000000000000000000000000000000436540000000030130000000013550000000008420000000008160000000048549000000000200000                  000000000014                                                0100001000000000024275                                                                                       000000024274522P0----      </t>
  </si>
  <si>
    <t>734231316</t>
  </si>
  <si>
    <t>Kohout kulový R 250D G 5/4 ÚT</t>
  </si>
  <si>
    <t xml:space="preserve">P7731734231316000000600kus    Kohout kulový R 250D G 5/4 ÚT                                                                                                                                                                                                                                  07300000000325450000000241070000000040180000000084370000000000000000000000000000003077680000000520920000000234320000000145540000000141060000000392405000000000800000                  000000000904                                                0100001000000000049051                                                                                       000000049050609P0----      </t>
  </si>
  <si>
    <t>734231317</t>
  </si>
  <si>
    <t>Kohout kulový R 250D G 6/4 ÚT</t>
  </si>
  <si>
    <t xml:space="preserve">P7731734231317000000600kus    Kohout kulový R 250D G 6/4 ÚT                                                                                                                                                                                                                                  07300000000425020000000314830000000052470000000110190000000000000000000000000000004933680000000680310000000306020000000190070000000184220000000603901000000000800000                  000000001120                                                0100001000000000075488                                                                                       000000075487654P0----      </t>
  </si>
  <si>
    <t>734231318</t>
  </si>
  <si>
    <t>Kohout kulový R 250D G 2 ÚT</t>
  </si>
  <si>
    <t xml:space="preserve">P7731734231318000000600kus    Kohout kulový R 250D G 2 ÚT                                                                                                                                                                                                                                    07300000001024910000000759190000000126530000000265720000000000000000000000000000014619360000001640520000000737940000000458340000000444240000001728479000000001600000                  000000003600                                                0100001000000000108030                                                                                       000000108029937P0----      </t>
  </si>
  <si>
    <t>734231319</t>
  </si>
  <si>
    <t>Kohout kulový R 250D G 2 1/2 ÚT</t>
  </si>
  <si>
    <t xml:space="preserve">P7731734231319000000600kus    Kohout kulový R 250D G 2 1/2 ÚT                                                                                                                                                                                                                                07300000000162720000000120540000000020090000000042190000000000000000000000000000003924300000000260460000000117160000000072770000000070530000000434748000000000200000                  000000000748                                                0100001000000000217374                                                                                       000000217374219P0----      </t>
  </si>
  <si>
    <t>734291113</t>
  </si>
  <si>
    <t>Kohout plnící vypouštěcí G 1/2</t>
  </si>
  <si>
    <t xml:space="preserve">P7731734291113000000600kus    Kohout plnící vypouštěcí G 1/2                                                                                                                                                                                                                                 07300000000124470000000092200000000015370000000032270000000000000000000000000000001184960000000199230000000089620000000055660000000053950000000150866000000001000000                  000000000490                                                0100001000000000015087                                                                                       000000015086645P0----      </t>
  </si>
  <si>
    <t>734411111</t>
  </si>
  <si>
    <t>Teploměr přímý do 120°C</t>
  </si>
  <si>
    <t xml:space="preserve">P7731734411111000000600kus    Teploměr přímý do 120°C                                                                                                                                                                                                                                        07300000002452240000000000000000000000000000000000000000000000000000000000000000000000000000000000000000000000000000000000000000000000000000000245224000000000800000                  000000000480                                                0100001000000000030653                                                                                       000000030653000P0----      </t>
  </si>
  <si>
    <t>734422110</t>
  </si>
  <si>
    <t>Tlakoměr 600kPa</t>
  </si>
  <si>
    <t xml:space="preserve">P7731734422110000000600kus    Tlakoměr 600kPa                                                                                                                                                                                                                                                07300000016878840000000000000000000000000000000000000000000000000000000000000000000000000000000000000000000000000000000000000000000000000000001687884000000000600000                  000000001626                                                0100001000000000281314                                                                                       000000281314000P0----      </t>
  </si>
  <si>
    <t>734424912</t>
  </si>
  <si>
    <t>Kohout tlakoměr vč smyčky</t>
  </si>
  <si>
    <t xml:space="preserve">P7731734424912000000600kus    Kohout tlakoměr vč smyčky                                                                                                                                                                                                                                      07300000000065580000000048570000000008100000000017000000000000000000000000000000001230000000000104960000000047210000000029330000000028420000000140054000000000600000                  000000000240                                                0100001000000000023342                                                                                       000000023342283P0----      </t>
  </si>
  <si>
    <t>734494213</t>
  </si>
  <si>
    <t xml:space="preserve">P7731734494213000000600kus    Návarky trubk závit G 1/2                                                                                                                                                                                                                                      07300000000489990000000362960000000060490000000127030000000000000000000000000000000406550000000784300000000352790000000219120000000212380000000168084000000001000000                  000000000236                                                0100001000000000016808                                                                                       000000016808420P0----      </t>
  </si>
  <si>
    <t>734 Armatury ústředního vytápění CELKEM Kč:</t>
  </si>
  <si>
    <t>PŘIDRUŽENÁ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</si>
  <si>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</si>
  <si>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</si>
  <si>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</si>
  <si>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</si>
  <si>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</si>
  <si>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</si>
  <si>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</si>
  <si>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</si>
  <si>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Poznámka</t>
  </si>
  <si>
    <t>Přirážky celkem bez DPH (suma přirážek)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</si>
  <si>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</si>
  <si>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</si>
  <si>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</si>
  <si>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</si>
  <si>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</si>
  <si>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</si>
  <si>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</si>
  <si>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</si>
  <si>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</si>
  <si>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</si>
  <si>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</si>
  <si>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</si>
  <si>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</si>
  <si>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</si>
  <si>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</si>
  <si>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</si>
  <si>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</si>
  <si>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</si>
  <si>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</si>
  <si>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</si>
  <si>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</si>
  <si>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</si>
  <si>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Sazba %</t>
  </si>
  <si>
    <t>Základ</t>
  </si>
  <si>
    <t>Daň</t>
  </si>
  <si>
    <t>Celkem daň</t>
  </si>
  <si>
    <t>ÚČELOVÉ MĚRNÉ JEDNOTKY</t>
  </si>
  <si>
    <t>MĚRNÁ JEDNOTKA</t>
  </si>
  <si>
    <t>POČET MJ</t>
  </si>
  <si>
    <t>NÁKLAD/MJ</t>
  </si>
  <si>
    <t>Razítko</t>
  </si>
  <si>
    <t>Izolace potrubí PAROC 42,50/25mm</t>
  </si>
  <si>
    <t>Potrubí záv.zes.kotelny,stroj DN 40,50</t>
  </si>
  <si>
    <t>Potrubí hlad.kotelny,stroj D 76/3,1</t>
  </si>
  <si>
    <t>Potrubí hlad.kotelny,stroj D 89/3,5</t>
  </si>
  <si>
    <t>Tlak zkouška potr.plast do d 50/4,5</t>
  </si>
  <si>
    <t>Tlak.zkouška potr.hlad.D 89/3,5</t>
  </si>
  <si>
    <t>Betonový pražec dodávka a montáž vč dopravy</t>
  </si>
  <si>
    <t>Doprava a režie</t>
  </si>
  <si>
    <t>VI</t>
  </si>
  <si>
    <t>%</t>
  </si>
  <si>
    <t>Oborová přirážka</t>
  </si>
  <si>
    <t>DOD.a MTŽ. Izol. Pásky vč.spojek a klipsy</t>
  </si>
  <si>
    <t>ks</t>
  </si>
  <si>
    <t>DOD.a MTŽ. Vč.výroby armatur izol.</t>
  </si>
  <si>
    <t>Věznice Kynšperk nad Ohří</t>
  </si>
  <si>
    <t>Objekt č. 054 - Ubytovna odsouzených D</t>
  </si>
  <si>
    <t>00212423</t>
  </si>
  <si>
    <t>Vězeňská služba ČR</t>
  </si>
  <si>
    <t>Celkové náklady objektu s DPH</t>
  </si>
  <si>
    <t>Oprava výměníků tepla v objektech č. 005 a 054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</si>
</sst>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#,##0.00000"/>
    <numFmt numFmtId="182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justify" vertical="center"/>
    </xf>
    <xf numFmtId="182" fontId="0" fillId="33" borderId="0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3" borderId="29" xfId="0" applyFill="1" applyBorder="1" applyAlignment="1">
      <alignment/>
    </xf>
    <xf numFmtId="49" fontId="0" fillId="33" borderId="30" xfId="0" applyNumberFormat="1" applyFill="1" applyBorder="1" applyAlignment="1">
      <alignment vertical="top"/>
    </xf>
    <xf numFmtId="49" fontId="0" fillId="33" borderId="30" xfId="0" applyNumberFormat="1" applyFill="1" applyBorder="1" applyAlignment="1">
      <alignment horizontal="justify" vertical="top"/>
    </xf>
    <xf numFmtId="2" fontId="0" fillId="33" borderId="30" xfId="0" applyNumberFormat="1" applyFill="1" applyBorder="1" applyAlignment="1">
      <alignment vertical="top"/>
    </xf>
    <xf numFmtId="4" fontId="0" fillId="33" borderId="30" xfId="0" applyNumberFormat="1" applyFill="1" applyBorder="1" applyAlignment="1">
      <alignment vertical="top"/>
    </xf>
    <xf numFmtId="180" fontId="0" fillId="33" borderId="30" xfId="0" applyNumberFormat="1" applyFill="1" applyBorder="1" applyAlignment="1">
      <alignment vertical="top"/>
    </xf>
    <xf numFmtId="0" fontId="0" fillId="33" borderId="30" xfId="0" applyFill="1" applyBorder="1" applyAlignment="1">
      <alignment vertical="top"/>
    </xf>
    <xf numFmtId="182" fontId="0" fillId="33" borderId="30" xfId="0" applyNumberFormat="1" applyFill="1" applyBorder="1" applyAlignment="1">
      <alignment vertical="top"/>
    </xf>
    <xf numFmtId="49" fontId="0" fillId="33" borderId="31" xfId="0" applyNumberFormat="1" applyFill="1" applyBorder="1" applyAlignment="1">
      <alignment vertical="top"/>
    </xf>
    <xf numFmtId="49" fontId="0" fillId="33" borderId="31" xfId="0" applyNumberFormat="1" applyFill="1" applyBorder="1" applyAlignment="1">
      <alignment horizontal="justify" vertical="top"/>
    </xf>
    <xf numFmtId="2" fontId="0" fillId="33" borderId="31" xfId="0" applyNumberFormat="1" applyFill="1" applyBorder="1" applyAlignment="1">
      <alignment vertical="top"/>
    </xf>
    <xf numFmtId="4" fontId="0" fillId="33" borderId="31" xfId="0" applyNumberFormat="1" applyFill="1" applyBorder="1" applyAlignment="1">
      <alignment vertical="top"/>
    </xf>
    <xf numFmtId="180" fontId="0" fillId="33" borderId="31" xfId="0" applyNumberFormat="1" applyFill="1" applyBorder="1" applyAlignment="1">
      <alignment vertical="top"/>
    </xf>
    <xf numFmtId="0" fontId="0" fillId="33" borderId="31" xfId="0" applyFill="1" applyBorder="1" applyAlignment="1">
      <alignment vertical="top"/>
    </xf>
    <xf numFmtId="182" fontId="0" fillId="33" borderId="31" xfId="0" applyNumberFormat="1" applyFill="1" applyBorder="1" applyAlignment="1">
      <alignment vertical="top"/>
    </xf>
    <xf numFmtId="49" fontId="0" fillId="33" borderId="32" xfId="0" applyNumberFormat="1" applyFill="1" applyBorder="1" applyAlignment="1">
      <alignment vertical="top"/>
    </xf>
    <xf numFmtId="49" fontId="0" fillId="33" borderId="32" xfId="0" applyNumberFormat="1" applyFill="1" applyBorder="1" applyAlignment="1">
      <alignment horizontal="justify" vertical="top"/>
    </xf>
    <xf numFmtId="2" fontId="0" fillId="33" borderId="32" xfId="0" applyNumberFormat="1" applyFill="1" applyBorder="1" applyAlignment="1">
      <alignment vertical="top"/>
    </xf>
    <xf numFmtId="4" fontId="0" fillId="33" borderId="32" xfId="0" applyNumberFormat="1" applyFill="1" applyBorder="1" applyAlignment="1">
      <alignment vertical="top"/>
    </xf>
    <xf numFmtId="180" fontId="0" fillId="33" borderId="32" xfId="0" applyNumberFormat="1" applyFill="1" applyBorder="1" applyAlignment="1">
      <alignment vertical="top"/>
    </xf>
    <xf numFmtId="0" fontId="0" fillId="33" borderId="32" xfId="0" applyFill="1" applyBorder="1" applyAlignment="1">
      <alignment vertical="top"/>
    </xf>
    <xf numFmtId="182" fontId="0" fillId="33" borderId="32" xfId="0" applyNumberFormat="1" applyFill="1" applyBorder="1" applyAlignment="1">
      <alignment vertical="top"/>
    </xf>
    <xf numFmtId="49" fontId="0" fillId="33" borderId="33" xfId="0" applyNumberForma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2" fontId="5" fillId="33" borderId="33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180" fontId="5" fillId="33" borderId="33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182" fontId="5" fillId="33" borderId="33" xfId="0" applyNumberFormat="1" applyFont="1" applyFill="1" applyBorder="1" applyAlignment="1">
      <alignment/>
    </xf>
    <xf numFmtId="49" fontId="0" fillId="33" borderId="34" xfId="0" applyNumberFormat="1" applyFill="1" applyBorder="1" applyAlignment="1">
      <alignment vertical="top"/>
    </xf>
    <xf numFmtId="49" fontId="0" fillId="33" borderId="34" xfId="0" applyNumberFormat="1" applyFill="1" applyBorder="1" applyAlignment="1">
      <alignment horizontal="justify" vertical="top"/>
    </xf>
    <xf numFmtId="2" fontId="0" fillId="33" borderId="34" xfId="0" applyNumberFormat="1" applyFill="1" applyBorder="1" applyAlignment="1">
      <alignment vertical="top"/>
    </xf>
    <xf numFmtId="4" fontId="0" fillId="33" borderId="34" xfId="0" applyNumberFormat="1" applyFill="1" applyBorder="1" applyAlignment="1">
      <alignment vertical="top"/>
    </xf>
    <xf numFmtId="180" fontId="0" fillId="33" borderId="34" xfId="0" applyNumberFormat="1" applyFill="1" applyBorder="1" applyAlignment="1">
      <alignment vertical="top"/>
    </xf>
    <xf numFmtId="0" fontId="0" fillId="33" borderId="34" xfId="0" applyFill="1" applyBorder="1" applyAlignment="1">
      <alignment vertical="top"/>
    </xf>
    <xf numFmtId="182" fontId="0" fillId="33" borderId="34" xfId="0" applyNumberFormat="1" applyFill="1" applyBorder="1" applyAlignment="1">
      <alignment vertical="top"/>
    </xf>
    <xf numFmtId="49" fontId="0" fillId="33" borderId="29" xfId="0" applyNumberFormat="1" applyFill="1" applyBorder="1" applyAlignment="1">
      <alignment/>
    </xf>
    <xf numFmtId="49" fontId="0" fillId="33" borderId="35" xfId="0" applyNumberFormat="1" applyFill="1" applyBorder="1" applyAlignment="1">
      <alignment/>
    </xf>
    <xf numFmtId="49" fontId="5" fillId="33" borderId="35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4" fontId="5" fillId="33" borderId="35" xfId="0" applyNumberFormat="1" applyFont="1" applyFill="1" applyBorder="1" applyAlignment="1">
      <alignment/>
    </xf>
    <xf numFmtId="180" fontId="5" fillId="33" borderId="35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182" fontId="5" fillId="33" borderId="35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80" fontId="0" fillId="32" borderId="0" xfId="0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top"/>
    </xf>
    <xf numFmtId="0" fontId="0" fillId="33" borderId="37" xfId="0" applyFont="1" applyFill="1" applyBorder="1" applyAlignment="1">
      <alignment horizontal="justify" vertical="top"/>
    </xf>
    <xf numFmtId="0" fontId="5" fillId="33" borderId="3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39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180" fontId="5" fillId="33" borderId="3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180" fontId="0" fillId="33" borderId="37" xfId="0" applyNumberFormat="1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0" fontId="0" fillId="0" borderId="49" xfId="0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Border="1" applyAlignment="1">
      <alignment/>
    </xf>
    <xf numFmtId="4" fontId="0" fillId="34" borderId="42" xfId="0" applyNumberFormat="1" applyFill="1" applyBorder="1" applyAlignment="1">
      <alignment/>
    </xf>
    <xf numFmtId="4" fontId="0" fillId="34" borderId="45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3" borderId="21" xfId="0" applyFill="1" applyBorder="1" applyAlignment="1">
      <alignment/>
    </xf>
    <xf numFmtId="0" fontId="0" fillId="33" borderId="50" xfId="0" applyFill="1" applyBorder="1" applyAlignment="1">
      <alignment/>
    </xf>
    <xf numFmtId="0" fontId="5" fillId="33" borderId="4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5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0" fillId="33" borderId="56" xfId="0" applyFill="1" applyBorder="1" applyAlignment="1">
      <alignment/>
    </xf>
    <xf numFmtId="0" fontId="0" fillId="33" borderId="33" xfId="0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57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4" fontId="0" fillId="33" borderId="58" xfId="0" applyNumberForma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" fontId="0" fillId="33" borderId="14" xfId="0" applyNumberForma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0" fillId="33" borderId="17" xfId="0" applyNumberFormat="1" applyFill="1" applyBorder="1" applyAlignment="1">
      <alignment horizontal="right"/>
    </xf>
    <xf numFmtId="49" fontId="0" fillId="33" borderId="59" xfId="0" applyNumberFormat="1" applyFill="1" applyBorder="1" applyAlignment="1">
      <alignment vertical="top"/>
    </xf>
    <xf numFmtId="49" fontId="0" fillId="33" borderId="50" xfId="0" applyNumberFormat="1" applyFill="1" applyBorder="1" applyAlignment="1">
      <alignment vertical="top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justify" vertical="top"/>
    </xf>
    <xf numFmtId="0" fontId="0" fillId="33" borderId="0" xfId="0" applyFill="1" applyAlignment="1">
      <alignment horizontal="justify" vertical="top"/>
    </xf>
    <xf numFmtId="0" fontId="0" fillId="33" borderId="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2" borderId="0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justify" vertical="center"/>
    </xf>
    <xf numFmtId="0" fontId="13" fillId="33" borderId="12" xfId="0" applyFont="1" applyFill="1" applyBorder="1" applyAlignment="1">
      <alignment horizontal="justify" vertical="center"/>
    </xf>
    <xf numFmtId="0" fontId="13" fillId="33" borderId="10" xfId="0" applyFont="1" applyFill="1" applyBorder="1" applyAlignment="1">
      <alignment horizontal="justify" vertical="center"/>
    </xf>
    <xf numFmtId="0" fontId="13" fillId="33" borderId="0" xfId="0" applyFont="1" applyFill="1" applyBorder="1" applyAlignment="1">
      <alignment horizontal="justify" vertical="center"/>
    </xf>
    <xf numFmtId="4" fontId="13" fillId="33" borderId="12" xfId="0" applyNumberFormat="1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4" fontId="0" fillId="33" borderId="54" xfId="0" applyNumberFormat="1" applyFill="1" applyBorder="1" applyAlignment="1">
      <alignment/>
    </xf>
    <xf numFmtId="4" fontId="0" fillId="33" borderId="62" xfId="0" applyNumberFormat="1" applyFill="1" applyBorder="1" applyAlignment="1">
      <alignment/>
    </xf>
    <xf numFmtId="0" fontId="0" fillId="33" borderId="56" xfId="0" applyFill="1" applyBorder="1" applyAlignment="1">
      <alignment horizontal="justify" vertical="top" wrapText="1"/>
    </xf>
    <xf numFmtId="0" fontId="0" fillId="33" borderId="33" xfId="0" applyFill="1" applyBorder="1" applyAlignment="1">
      <alignment horizontal="justify" vertical="top"/>
    </xf>
    <xf numFmtId="0" fontId="0" fillId="33" borderId="18" xfId="0" applyFill="1" applyBorder="1" applyAlignment="1">
      <alignment horizontal="justify" vertical="top"/>
    </xf>
    <xf numFmtId="0" fontId="0" fillId="33" borderId="19" xfId="0" applyFill="1" applyBorder="1" applyAlignment="1">
      <alignment horizontal="justify" vertical="top"/>
    </xf>
    <xf numFmtId="4" fontId="0" fillId="33" borderId="33" xfId="0" applyNumberFormat="1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50" xfId="0" applyBorder="1" applyAlignment="1">
      <alignment/>
    </xf>
    <xf numFmtId="0" fontId="5" fillId="33" borderId="63" xfId="0" applyFont="1" applyFill="1" applyBorder="1" applyAlignment="1">
      <alignment horizontal="center"/>
    </xf>
    <xf numFmtId="0" fontId="0" fillId="33" borderId="46" xfId="0" applyFill="1" applyBorder="1" applyAlignment="1">
      <alignment horizontal="center" vertical="center"/>
    </xf>
    <xf numFmtId="4" fontId="0" fillId="33" borderId="29" xfId="0" applyNumberFormat="1" applyFill="1" applyBorder="1" applyAlignment="1">
      <alignment/>
    </xf>
    <xf numFmtId="4" fontId="0" fillId="33" borderId="64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5" fillId="33" borderId="51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/>
    </xf>
    <xf numFmtId="0" fontId="7" fillId="33" borderId="6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mas\Dokumenty\Rozpocet%20KYN&#352;PERK%20KOLOV&#193;%20-%20UBYTOVNA%20D%20-%20'054.xls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cet KYNŠPERK KOLOVÁ - UBYT"/>
    </sheetNames>
    <definedNames>
      <definedName name="Exporter.Export3rd"/>
      <definedName name="Utils.FillPrZak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5"/>
      <c r="B1" s="6"/>
      <c r="C1" s="6"/>
      <c r="D1" s="6"/>
      <c r="E1" s="6"/>
      <c r="F1" s="6"/>
      <c r="G1" s="7"/>
      <c r="H1" s="6"/>
      <c r="I1" s="6"/>
      <c r="J1" s="6"/>
      <c r="K1" s="6"/>
      <c r="L1" s="8"/>
      <c r="M1" s="2"/>
      <c r="N1" s="2"/>
      <c r="O1" s="2"/>
      <c r="P1" s="2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9"/>
      <c r="B2" s="10"/>
      <c r="C2" s="10"/>
      <c r="D2" s="10"/>
      <c r="E2" s="10"/>
      <c r="F2" s="11" t="s">
        <v>0</v>
      </c>
      <c r="G2" s="10"/>
      <c r="H2" s="10"/>
      <c r="I2" s="10"/>
      <c r="J2" s="10"/>
      <c r="K2" s="10"/>
      <c r="L2" s="12"/>
      <c r="M2" s="2"/>
      <c r="N2" s="2"/>
      <c r="O2" s="2"/>
      <c r="P2" s="2" t="s">
        <v>19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"/>
      <c r="B6" s="16" t="s">
        <v>1</v>
      </c>
      <c r="C6" s="10"/>
      <c r="D6" s="17" t="s">
        <v>20</v>
      </c>
      <c r="E6" s="10"/>
      <c r="F6" s="10"/>
      <c r="G6" s="10"/>
      <c r="H6" s="16" t="s">
        <v>2</v>
      </c>
      <c r="I6" s="18"/>
      <c r="J6" s="10"/>
      <c r="K6" s="10" t="s">
        <v>196</v>
      </c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"/>
      <c r="B7" s="10"/>
      <c r="C7" s="10"/>
      <c r="D7" s="17"/>
      <c r="E7" s="10"/>
      <c r="F7" s="10"/>
      <c r="G7" s="10"/>
      <c r="H7" s="10"/>
      <c r="I7" s="18"/>
      <c r="J7" s="10"/>
      <c r="K7" s="10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>
      <c r="A8" s="9"/>
      <c r="B8" s="16" t="s">
        <v>3</v>
      </c>
      <c r="C8" s="10"/>
      <c r="D8" s="17" t="s">
        <v>21</v>
      </c>
      <c r="E8" s="10"/>
      <c r="F8" s="10"/>
      <c r="G8" s="10"/>
      <c r="H8" s="19" t="s">
        <v>4</v>
      </c>
      <c r="I8" s="18"/>
      <c r="J8" s="10"/>
      <c r="K8" s="161" t="s">
        <v>201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"/>
      <c r="B9" s="10"/>
      <c r="C9" s="10"/>
      <c r="D9" s="17"/>
      <c r="E9" s="10"/>
      <c r="F9" s="10"/>
      <c r="G9" s="10"/>
      <c r="H9" s="10"/>
      <c r="I9" s="18"/>
      <c r="J9" s="10"/>
      <c r="K9" s="16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/>
      <c r="B10" s="16" t="s">
        <v>5</v>
      </c>
      <c r="C10" s="10"/>
      <c r="D10" s="17" t="s">
        <v>21</v>
      </c>
      <c r="E10" s="10"/>
      <c r="F10" s="10"/>
      <c r="G10" s="10"/>
      <c r="H10" s="19" t="s">
        <v>6</v>
      </c>
      <c r="I10" s="18"/>
      <c r="J10" s="10"/>
      <c r="K10" s="166" t="s">
        <v>197</v>
      </c>
      <c r="L10" s="16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"/>
      <c r="B11" s="10"/>
      <c r="C11" s="10"/>
      <c r="D11" s="17"/>
      <c r="E11" s="10"/>
      <c r="F11" s="10"/>
      <c r="G11" s="10"/>
      <c r="H11" s="10"/>
      <c r="I11" s="18"/>
      <c r="J11" s="10"/>
      <c r="K11" s="10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"/>
      <c r="B12" s="16" t="s">
        <v>7</v>
      </c>
      <c r="C12" s="10"/>
      <c r="D12" s="17" t="s">
        <v>21</v>
      </c>
      <c r="E12" s="10"/>
      <c r="F12" s="10"/>
      <c r="G12" s="10"/>
      <c r="H12" s="16" t="s">
        <v>8</v>
      </c>
      <c r="I12" s="18"/>
      <c r="J12" s="10"/>
      <c r="K12" s="163" t="s">
        <v>198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9"/>
      <c r="B13" s="10"/>
      <c r="C13" s="10"/>
      <c r="D13" s="17"/>
      <c r="E13" s="10"/>
      <c r="F13" s="10"/>
      <c r="G13" s="10"/>
      <c r="H13" s="10"/>
      <c r="I13" s="18"/>
      <c r="J13" s="10"/>
      <c r="K13" s="10" t="s">
        <v>199</v>
      </c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9"/>
      <c r="B14" s="16" t="s">
        <v>9</v>
      </c>
      <c r="C14" s="10"/>
      <c r="D14" s="17" t="s">
        <v>22</v>
      </c>
      <c r="E14" s="10"/>
      <c r="F14" s="10"/>
      <c r="G14" s="10"/>
      <c r="H14" s="10"/>
      <c r="I14" s="18"/>
      <c r="J14" s="10"/>
      <c r="K14" s="10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9"/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9"/>
      <c r="B16" s="16" t="s">
        <v>10</v>
      </c>
      <c r="C16" s="10"/>
      <c r="D16" s="10"/>
      <c r="E16" s="21">
        <v>1</v>
      </c>
      <c r="F16" s="10"/>
      <c r="G16" s="10"/>
      <c r="H16" s="16" t="s">
        <v>11</v>
      </c>
      <c r="I16" s="18"/>
      <c r="J16" s="10"/>
      <c r="K16" s="10" t="s">
        <v>14</v>
      </c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9"/>
      <c r="B17" s="10"/>
      <c r="C17" s="10"/>
      <c r="D17" s="10"/>
      <c r="E17" s="10"/>
      <c r="F17" s="10"/>
      <c r="G17" s="10"/>
      <c r="H17" s="10"/>
      <c r="I17" s="18"/>
      <c r="J17" s="10"/>
      <c r="K17" s="10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9"/>
      <c r="B18" s="10"/>
      <c r="C18" s="10"/>
      <c r="D18" s="10"/>
      <c r="E18" s="10"/>
      <c r="F18" s="10"/>
      <c r="G18" s="10"/>
      <c r="H18" s="10"/>
      <c r="I18" s="18"/>
      <c r="J18" s="10"/>
      <c r="K18" s="10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9"/>
      <c r="B19" s="10"/>
      <c r="C19" s="10"/>
      <c r="D19" s="10"/>
      <c r="E19" s="10"/>
      <c r="F19" s="10"/>
      <c r="G19" s="10"/>
      <c r="H19" s="19" t="s">
        <v>12</v>
      </c>
      <c r="I19" s="18"/>
      <c r="J19" s="10"/>
      <c r="K19" s="20" t="s">
        <v>24</v>
      </c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9"/>
      <c r="B25" s="16" t="s">
        <v>13</v>
      </c>
      <c r="C25" s="10"/>
      <c r="D25" s="10"/>
      <c r="E25" s="164"/>
      <c r="F25" s="165"/>
      <c r="G25" s="164"/>
      <c r="H25" s="16" t="s">
        <v>15</v>
      </c>
      <c r="I25" s="18"/>
      <c r="J25" s="10"/>
      <c r="K25" s="10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9"/>
      <c r="B26" s="10"/>
      <c r="C26" s="10"/>
      <c r="D26" s="10"/>
      <c r="E26" s="164"/>
      <c r="F26" s="164"/>
      <c r="G26" s="164"/>
      <c r="H26" s="10"/>
      <c r="I26" s="18"/>
      <c r="J26" s="10"/>
      <c r="K26" s="10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9"/>
      <c r="B27" s="16" t="s">
        <v>16</v>
      </c>
      <c r="C27" s="10"/>
      <c r="D27" s="10"/>
      <c r="E27" s="10" t="s">
        <v>23</v>
      </c>
      <c r="F27" s="10"/>
      <c r="G27" s="10"/>
      <c r="H27" s="16" t="s">
        <v>17</v>
      </c>
      <c r="I27" s="18"/>
      <c r="J27" s="10"/>
      <c r="K27" s="10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/>
  <mergeCells count="2">
    <mergeCell ref="E25:G26"/>
    <mergeCell ref="K10:L1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210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"/>
      <c r="P1" s="2"/>
      <c r="Q1" s="2"/>
      <c r="R1" s="2"/>
    </row>
    <row r="2" spans="1:18" ht="12.7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2"/>
      <c r="P2" s="2"/>
      <c r="Q2" s="2"/>
      <c r="R2" s="2"/>
    </row>
    <row r="3" spans="1:18" ht="13.5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2"/>
      <c r="P3" s="2"/>
      <c r="Q3" s="2"/>
      <c r="R3" s="2"/>
    </row>
    <row r="4" spans="1:18" ht="12.75">
      <c r="A4" s="5"/>
      <c r="B4" s="6"/>
      <c r="C4" s="6"/>
      <c r="D4" s="128"/>
      <c r="E4" s="10"/>
      <c r="F4" s="10"/>
      <c r="G4" s="10"/>
      <c r="H4" s="10"/>
      <c r="I4" s="10"/>
      <c r="J4" s="10"/>
      <c r="K4" s="10"/>
      <c r="L4" s="10"/>
      <c r="M4" s="10"/>
      <c r="N4" s="12"/>
      <c r="O4" s="2"/>
      <c r="P4" s="2"/>
      <c r="Q4" s="2"/>
      <c r="R4" s="2"/>
    </row>
    <row r="5" spans="1:18" ht="12.75">
      <c r="A5" s="9" t="s">
        <v>1</v>
      </c>
      <c r="B5" s="10"/>
      <c r="C5" s="209" t="str">
        <f>Úvod!D6</f>
        <v>80110</v>
      </c>
      <c r="D5" s="204"/>
      <c r="E5" s="10" t="s">
        <v>152</v>
      </c>
      <c r="F5" s="10"/>
      <c r="G5" s="203" t="str">
        <f>Úvod!K8</f>
        <v>Oprava výměníků tepla v objektech č. 005 a 054</v>
      </c>
      <c r="H5" s="203"/>
      <c r="I5" s="203"/>
      <c r="J5" s="203"/>
      <c r="K5" s="203"/>
      <c r="L5" s="219"/>
      <c r="M5" s="219"/>
      <c r="N5" s="12"/>
      <c r="O5" s="2"/>
      <c r="P5" s="2"/>
      <c r="Q5" s="2"/>
      <c r="R5" s="2"/>
    </row>
    <row r="6" spans="1:18" ht="12.75">
      <c r="A6" s="9" t="s">
        <v>153</v>
      </c>
      <c r="B6" s="10"/>
      <c r="C6" s="209">
        <f>Úvod!D10</f>
      </c>
      <c r="D6" s="204"/>
      <c r="E6" s="10" t="s">
        <v>154</v>
      </c>
      <c r="F6" s="10"/>
      <c r="G6" s="203" t="str">
        <f>Úvod!K10</f>
        <v>Objekt č. 054 - Ubytovna odsouzených D</v>
      </c>
      <c r="H6" s="203"/>
      <c r="I6" s="203"/>
      <c r="J6" s="203"/>
      <c r="K6" s="203"/>
      <c r="L6" s="219"/>
      <c r="M6" s="219"/>
      <c r="N6" s="12"/>
      <c r="O6" s="2"/>
      <c r="P6" s="2"/>
      <c r="Q6" s="2"/>
      <c r="R6" s="2"/>
    </row>
    <row r="7" spans="1:18" ht="12.75">
      <c r="A7" s="9" t="s">
        <v>155</v>
      </c>
      <c r="B7" s="10"/>
      <c r="C7" s="209">
        <f>Úvod!D12</f>
      </c>
      <c r="D7" s="204"/>
      <c r="E7" s="10"/>
      <c r="F7" s="10"/>
      <c r="G7" s="10"/>
      <c r="H7" s="10"/>
      <c r="I7" s="10"/>
      <c r="J7" s="10"/>
      <c r="K7" s="10"/>
      <c r="L7" s="10"/>
      <c r="M7" s="10"/>
      <c r="N7" s="12"/>
      <c r="O7" s="2"/>
      <c r="P7" s="2"/>
      <c r="Q7" s="2"/>
      <c r="R7" s="2"/>
    </row>
    <row r="8" spans="1:18" ht="12.75">
      <c r="A8" s="9" t="s">
        <v>156</v>
      </c>
      <c r="B8" s="10"/>
      <c r="C8" s="209" t="str">
        <f>Úvod!D14</f>
        <v>  </v>
      </c>
      <c r="D8" s="204"/>
      <c r="E8" s="10"/>
      <c r="F8" s="10"/>
      <c r="G8" s="10"/>
      <c r="H8" s="10"/>
      <c r="I8" s="10"/>
      <c r="J8" s="10"/>
      <c r="K8" s="10"/>
      <c r="L8" s="10"/>
      <c r="M8" s="10"/>
      <c r="N8" s="12"/>
      <c r="O8" s="2"/>
      <c r="P8" s="2"/>
      <c r="Q8" s="2"/>
      <c r="R8" s="2"/>
    </row>
    <row r="9" spans="1:18" ht="12.75">
      <c r="A9" s="9"/>
      <c r="B9" s="10"/>
      <c r="C9" s="10"/>
      <c r="D9" s="129"/>
      <c r="E9" s="10"/>
      <c r="F9" s="10"/>
      <c r="G9" s="10"/>
      <c r="H9" s="10"/>
      <c r="I9" s="10"/>
      <c r="J9" s="10"/>
      <c r="K9" s="10"/>
      <c r="L9" s="10"/>
      <c r="M9" s="10"/>
      <c r="N9" s="12"/>
      <c r="O9" s="2"/>
      <c r="P9" s="2"/>
      <c r="Q9" s="2"/>
      <c r="R9" s="2"/>
    </row>
    <row r="10" spans="1:18" ht="12.75">
      <c r="A10" s="9" t="s">
        <v>157</v>
      </c>
      <c r="B10" s="10"/>
      <c r="C10" s="203"/>
      <c r="D10" s="204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"/>
      <c r="P10" s="2"/>
      <c r="Q10" s="2"/>
      <c r="R10" s="2"/>
    </row>
    <row r="11" spans="1:18" ht="13.5" thickBot="1">
      <c r="A11" s="9"/>
      <c r="B11" s="10"/>
      <c r="C11" s="10"/>
      <c r="D11" s="129"/>
      <c r="E11" s="10"/>
      <c r="F11" s="10"/>
      <c r="G11" s="10"/>
      <c r="H11" s="10"/>
      <c r="I11" s="10"/>
      <c r="J11" s="10"/>
      <c r="K11" s="14"/>
      <c r="L11" s="14"/>
      <c r="M11" s="14"/>
      <c r="N11" s="15"/>
      <c r="O11" s="2"/>
      <c r="P11" s="2"/>
      <c r="Q11" s="2"/>
      <c r="R11" s="2"/>
    </row>
    <row r="12" spans="1:18" ht="13.5" thickBot="1">
      <c r="A12" s="205" t="s">
        <v>158</v>
      </c>
      <c r="B12" s="185"/>
      <c r="C12" s="185"/>
      <c r="D12" s="185"/>
      <c r="E12" s="186"/>
      <c r="F12" s="205" t="s">
        <v>159</v>
      </c>
      <c r="G12" s="185"/>
      <c r="H12" s="185"/>
      <c r="I12" s="131" t="s">
        <v>32</v>
      </c>
      <c r="J12" s="130">
        <v>0</v>
      </c>
      <c r="K12" s="5"/>
      <c r="L12" s="6"/>
      <c r="M12" s="6"/>
      <c r="N12" s="8"/>
      <c r="O12" s="2"/>
      <c r="P12" s="2"/>
      <c r="Q12" s="2"/>
      <c r="R12" s="2"/>
    </row>
    <row r="13" spans="1:18" ht="12.75">
      <c r="A13" s="206" t="s">
        <v>160</v>
      </c>
      <c r="B13" s="132" t="s">
        <v>161</v>
      </c>
      <c r="C13" s="40"/>
      <c r="D13" s="207"/>
      <c r="E13" s="208"/>
      <c r="F13" s="133" t="str">
        <f>IF(OR(Přirážky!B2="",Přirážky!I2="Nepoužítá přirážka"),"",Přirážky!B2)</f>
        <v>Oborová přirážka</v>
      </c>
      <c r="G13" s="6"/>
      <c r="H13" s="6"/>
      <c r="I13" s="6"/>
      <c r="J13" s="134">
        <f>IF(OR(Přirážky!B2="",Přirážky!I2="Nepoužítá přirážka"),"",IF(Přirážky!D2="VI",Přirážky!G2,Přirážky!H2))</f>
        <v>0</v>
      </c>
      <c r="K13" s="9"/>
      <c r="L13" s="10"/>
      <c r="M13" s="10"/>
      <c r="N13" s="12"/>
      <c r="O13" s="2"/>
      <c r="P13" s="2"/>
      <c r="Q13" s="2"/>
      <c r="R13" s="2"/>
    </row>
    <row r="14" spans="1:18" ht="12.75">
      <c r="A14" s="189"/>
      <c r="B14" s="135" t="s">
        <v>162</v>
      </c>
      <c r="C14" s="23"/>
      <c r="D14" s="190"/>
      <c r="E14" s="191"/>
      <c r="F14" s="136">
        <f>IF(OR(Přirážky!B3="",Přirážky!I3="Nepoužítá přirážka"),"",Přirážky!B3)</f>
      </c>
      <c r="G14" s="10"/>
      <c r="H14" s="10"/>
      <c r="I14" s="10"/>
      <c r="J14" s="137">
        <f>IF(OR(Přirážky!B3="",Přirážky!I3="Nepoužítá přirážka"),"",IF(Přirážky!D3="VI",Přirážky!G3,Přirážky!H3))</f>
      </c>
      <c r="K14" s="9" t="s">
        <v>163</v>
      </c>
      <c r="L14" s="10"/>
      <c r="M14" s="10"/>
      <c r="N14" s="12"/>
      <c r="O14" s="2"/>
      <c r="P14" s="2"/>
      <c r="Q14" s="2"/>
      <c r="R14" s="2"/>
    </row>
    <row r="15" spans="1:18" ht="12.75">
      <c r="A15" s="188" t="s">
        <v>164</v>
      </c>
      <c r="B15" s="138" t="s">
        <v>161</v>
      </c>
      <c r="C15" s="139"/>
      <c r="D15" s="190">
        <f>Rekapitulace!H10</f>
        <v>0</v>
      </c>
      <c r="E15" s="191"/>
      <c r="F15" s="136">
        <f>IF(OR(Přirážky!B4="",Přirážky!I4="Nepoužítá přirážka"),"",Přirážky!B4)</f>
      </c>
      <c r="G15" s="10"/>
      <c r="H15" s="10"/>
      <c r="I15" s="10"/>
      <c r="J15" s="137">
        <f>IF(OR(Přirážky!B4="",Přirážky!I4="Nepoužítá přirážka"),"",IF(Přirážky!D4="VI",Přirážky!G4,Přirážky!H4))</f>
      </c>
      <c r="K15" s="9"/>
      <c r="L15" s="10"/>
      <c r="M15" s="10"/>
      <c r="N15" s="12"/>
      <c r="O15" s="2"/>
      <c r="P15" s="2"/>
      <c r="Q15" s="2"/>
      <c r="R15" s="2"/>
    </row>
    <row r="16" spans="1:18" ht="12.75">
      <c r="A16" s="189"/>
      <c r="B16" s="135" t="s">
        <v>162</v>
      </c>
      <c r="C16" s="23"/>
      <c r="D16" s="190">
        <f>Rekapitulace!G10</f>
        <v>0</v>
      </c>
      <c r="E16" s="191"/>
      <c r="F16" s="136">
        <f>IF(OR(Přirážky!B5="",Přirážky!I5="Nepoužítá přirážka"),"",Přirážky!B5)</f>
      </c>
      <c r="G16" s="10"/>
      <c r="H16" s="10"/>
      <c r="I16" s="10"/>
      <c r="J16" s="137">
        <f>IF(OR(Přirážky!B5="",Přirážky!I5="Nepoužítá přirážka"),"",IF(Přirážky!D5="VI",Přirážky!G5,Přirážky!H5))</f>
      </c>
      <c r="K16" s="9"/>
      <c r="L16" s="10"/>
      <c r="M16" s="10"/>
      <c r="N16" s="12"/>
      <c r="O16" s="2"/>
      <c r="P16" s="2"/>
      <c r="Q16" s="2"/>
      <c r="R16" s="2"/>
    </row>
    <row r="17" spans="1:18" ht="12.75">
      <c r="A17" s="188" t="s">
        <v>165</v>
      </c>
      <c r="B17" s="138" t="s">
        <v>161</v>
      </c>
      <c r="C17" s="139"/>
      <c r="D17" s="190"/>
      <c r="E17" s="191"/>
      <c r="F17" s="136">
        <f>IF(OR(Přirážky!B6="",Přirážky!I6="Nepoužítá přirážka"),"",Přirážky!B6)</f>
      </c>
      <c r="G17" s="10"/>
      <c r="H17" s="10"/>
      <c r="I17" s="10"/>
      <c r="J17" s="137">
        <f>IF(OR(Přirážky!B6="",Přirážky!I6="Nepoužítá přirážka"),"",IF(Přirážky!D6="VI",Přirážky!G6,Přirážky!H6))</f>
      </c>
      <c r="K17" s="9"/>
      <c r="L17" s="10"/>
      <c r="M17" s="10"/>
      <c r="N17" s="12"/>
      <c r="O17" s="2"/>
      <c r="P17" s="2"/>
      <c r="Q17" s="2"/>
      <c r="R17" s="2"/>
    </row>
    <row r="18" spans="1:18" ht="12.75">
      <c r="A18" s="189"/>
      <c r="B18" s="135" t="s">
        <v>162</v>
      </c>
      <c r="C18" s="23"/>
      <c r="D18" s="190"/>
      <c r="E18" s="191"/>
      <c r="F18" s="136">
        <f>IF(OR(Přirážky!B7="",Přirážky!I7="Nepoužítá přirážka"),"",Přirážky!B7)</f>
      </c>
      <c r="G18" s="10"/>
      <c r="H18" s="10"/>
      <c r="I18" s="10"/>
      <c r="J18" s="137">
        <f>IF(OR(Přirážky!B7="",Přirážky!I7="Nepoužítá přirážka"),"",IF(Přirážky!D7="VI",Přirážky!G7,Přirážky!H7))</f>
      </c>
      <c r="K18" s="9"/>
      <c r="L18" s="10"/>
      <c r="M18" s="10"/>
      <c r="N18" s="12"/>
      <c r="O18" s="2"/>
      <c r="P18" s="2"/>
      <c r="Q18" s="2"/>
      <c r="R18" s="2"/>
    </row>
    <row r="19" spans="1:18" ht="13.5" thickBot="1">
      <c r="A19" s="140" t="s">
        <v>166</v>
      </c>
      <c r="B19" s="139"/>
      <c r="C19" s="139"/>
      <c r="D19" s="190"/>
      <c r="E19" s="191"/>
      <c r="F19" s="136">
        <f>IF(OR(Přirážky!B8="",Přirážky!I8="Nepoužítá přirážka"),"",Přirážky!B8)</f>
      </c>
      <c r="G19" s="10"/>
      <c r="H19" s="10"/>
      <c r="I19" s="10"/>
      <c r="J19" s="137">
        <f>IF(OR(Přirážky!B8="",Přirážky!I8="Nepoužítá přirážka"),"",IF(Přirážky!D8="VI",Přirážky!G8,Přirážky!H8))</f>
      </c>
      <c r="K19" s="13" t="s">
        <v>167</v>
      </c>
      <c r="L19" s="14"/>
      <c r="M19" s="14"/>
      <c r="N19" s="15"/>
      <c r="O19" s="2"/>
      <c r="P19" s="2"/>
      <c r="Q19" s="2"/>
      <c r="R19" s="2"/>
    </row>
    <row r="20" spans="1:18" ht="12.75">
      <c r="A20" s="141" t="s">
        <v>168</v>
      </c>
      <c r="B20" s="139"/>
      <c r="C20" s="139"/>
      <c r="D20" s="190">
        <f>SUM(D13:D19)</f>
        <v>0</v>
      </c>
      <c r="E20" s="191"/>
      <c r="F20" s="136">
        <f>IF(OR(Přirážky!B9="",Přirážky!I9="Nepoužítá přirážka"),"",Přirážky!B9)</f>
      </c>
      <c r="G20" s="10"/>
      <c r="H20" s="10"/>
      <c r="I20" s="10"/>
      <c r="J20" s="137">
        <f>IF(OR(Přirážky!B9="",Přirážky!I9="Nepoužítá přirážka"),"",IF(Přirážky!D9="VI",Přirážky!G9,Přirážky!H9))</f>
      </c>
      <c r="K20" s="5"/>
      <c r="L20" s="6"/>
      <c r="M20" s="6"/>
      <c r="N20" s="8"/>
      <c r="O20" s="2"/>
      <c r="P20" s="2"/>
      <c r="Q20" s="2"/>
      <c r="R20" s="2"/>
    </row>
    <row r="21" spans="1:18" ht="12.75">
      <c r="A21" s="140" t="s">
        <v>169</v>
      </c>
      <c r="B21" s="139"/>
      <c r="C21" s="139"/>
      <c r="D21" s="190">
        <f>Přirážky!G19</f>
        <v>0</v>
      </c>
      <c r="E21" s="191"/>
      <c r="F21" s="136">
        <f>IF(OR(Přirážky!B10="",Přirážky!I10="Nepoužítá přirážka"),"",Přirážky!B10)</f>
      </c>
      <c r="G21" s="10"/>
      <c r="H21" s="10"/>
      <c r="I21" s="10"/>
      <c r="J21" s="137">
        <f>IF(OR(Přirážky!B10="",Přirážky!I10="Nepoužítá přirážka"),"",IF(Přirážky!D10="VI",Přirážky!G10,Přirážky!H10))</f>
      </c>
      <c r="K21" s="9" t="s">
        <v>170</v>
      </c>
      <c r="L21" s="10"/>
      <c r="M21" s="10"/>
      <c r="N21" s="12"/>
      <c r="O21" s="2"/>
      <c r="P21" s="2"/>
      <c r="Q21" s="2"/>
      <c r="R21" s="2"/>
    </row>
    <row r="22" spans="1:18" ht="12.75">
      <c r="A22" s="192" t="s">
        <v>171</v>
      </c>
      <c r="B22" s="193"/>
      <c r="C22" s="193"/>
      <c r="D22" s="196">
        <f>D20+J30</f>
        <v>0</v>
      </c>
      <c r="E22" s="197"/>
      <c r="F22" s="136">
        <f>IF(OR(Přirážky!B11="",Přirážky!I11="Nepoužítá přirážka"),"",Přirážky!B11)</f>
      </c>
      <c r="G22" s="10"/>
      <c r="H22" s="10"/>
      <c r="I22" s="10"/>
      <c r="J22" s="137">
        <f>IF(OR(Přirážky!B11="",Přirážky!I11="Nepoužítá přirážka"),"",IF(Přirážky!D11="VI",Přirážky!G11,Přirážky!H11))</f>
      </c>
      <c r="K22" s="9"/>
      <c r="L22" s="10"/>
      <c r="M22" s="10"/>
      <c r="N22" s="12"/>
      <c r="O22" s="2"/>
      <c r="P22" s="2"/>
      <c r="Q22" s="2"/>
      <c r="R22" s="2"/>
    </row>
    <row r="23" spans="1:18" ht="12.75">
      <c r="A23" s="194"/>
      <c r="B23" s="195"/>
      <c r="C23" s="195"/>
      <c r="D23" s="198"/>
      <c r="E23" s="199"/>
      <c r="F23" s="136">
        <f>IF(OR(Přirážky!B12="",Přirážky!I12="Nepoužítá přirážka"),"",Přirážky!B12)</f>
      </c>
      <c r="G23" s="10"/>
      <c r="H23" s="10"/>
      <c r="I23" s="142"/>
      <c r="J23" s="137">
        <f>IF(OR(Přirážky!B12="",Přirážky!I12="Nepoužítá přirážka"),"",IF(Přirážky!D12="VI",Přirážky!G12,Přirážky!H12))</f>
      </c>
      <c r="K23" s="9"/>
      <c r="L23" s="10"/>
      <c r="M23" s="10"/>
      <c r="N23" s="12"/>
      <c r="O23" s="2"/>
      <c r="P23" s="2"/>
      <c r="Q23" s="2"/>
      <c r="R23" s="2"/>
    </row>
    <row r="24" spans="1:18" ht="12.75">
      <c r="A24" s="143" t="s">
        <v>172</v>
      </c>
      <c r="B24" s="144"/>
      <c r="C24" s="144"/>
      <c r="D24" s="145"/>
      <c r="E24" s="146"/>
      <c r="F24" s="136">
        <f>IF(OR(Přirážky!B13="",Přirážky!I13="Nepoužítá přirážka"),"",Přirážky!B13)</f>
      </c>
      <c r="G24" s="147"/>
      <c r="H24" s="147"/>
      <c r="I24" s="147"/>
      <c r="J24" s="137">
        <f>IF(OR(Přirážky!B13="",Přirážky!I13="Nepoužítá přirážka"),"",IF(Přirážky!D13="VI",Přirážky!G13,Přirážky!H13))</f>
      </c>
      <c r="K24" s="9"/>
      <c r="L24" s="10"/>
      <c r="M24" s="10"/>
      <c r="N24" s="12"/>
      <c r="O24" s="2"/>
      <c r="P24" s="2"/>
      <c r="Q24" s="2"/>
      <c r="R24" s="2"/>
    </row>
    <row r="25" spans="1:18" ht="12.75">
      <c r="A25" s="9" t="s">
        <v>173</v>
      </c>
      <c r="B25" s="200" t="s">
        <v>174</v>
      </c>
      <c r="C25" s="200"/>
      <c r="D25" s="201" t="s">
        <v>175</v>
      </c>
      <c r="E25" s="202"/>
      <c r="F25" s="136">
        <f>IF(OR(Přirážky!B14="",Přirážky!I14="Nepoužítá přirážka"),"",Přirážky!B14)</f>
      </c>
      <c r="G25" s="147"/>
      <c r="H25" s="147"/>
      <c r="I25" s="147"/>
      <c r="J25" s="137">
        <f>IF(OR(Přirážky!B14="",Přirážky!I14="Nepoužítá přirážka"),"",IF(Přirážky!D14="VI",Přirážky!G14,Přirážky!H14))</f>
      </c>
      <c r="K25" s="9"/>
      <c r="L25" s="10"/>
      <c r="M25" s="10"/>
      <c r="N25" s="12"/>
      <c r="O25" s="2"/>
      <c r="P25" s="2"/>
      <c r="Q25" s="2"/>
      <c r="R25" s="2"/>
    </row>
    <row r="26" spans="1:18" ht="12.75">
      <c r="A26" s="148">
        <v>5</v>
      </c>
      <c r="B26" s="173">
        <f>SUMIF(Rozpočet!K1:Rozpočet!K44,A26,Rozpočet!H1:Rozpočet!H44)+SUMIF(Rozpočet!K1:Rozpočet!K44,A26,Rozpočet!I1:Rozpočet!I44)+IF($J$12=$A$26,J30,0)</f>
        <v>0</v>
      </c>
      <c r="C26" s="173"/>
      <c r="D26" s="173">
        <f>A26/100*B26</f>
        <v>0</v>
      </c>
      <c r="E26" s="174"/>
      <c r="F26" s="136">
        <f>IF(OR(Přirážky!B15="",Přirážky!I15="Nepoužítá přirážka"),"",Přirážky!B15)</f>
      </c>
      <c r="G26" s="147"/>
      <c r="H26" s="147"/>
      <c r="I26" s="147"/>
      <c r="J26" s="137">
        <f>IF(OR(Přirážky!B15="",Přirážky!I15="Nepoužítá přirážka"),"",IF(Přirážky!D15="VI",Přirážky!G15,Přirážky!H15))</f>
      </c>
      <c r="K26" s="9"/>
      <c r="L26" s="10"/>
      <c r="M26" s="10"/>
      <c r="N26" s="12"/>
      <c r="O26" s="2"/>
      <c r="P26" s="2"/>
      <c r="Q26" s="2"/>
      <c r="R26" s="2"/>
    </row>
    <row r="27" spans="1:18" ht="12.75">
      <c r="A27" s="148">
        <v>9</v>
      </c>
      <c r="B27" s="173">
        <f>SUMIF(Rozpočet!K1:Rozpočet!K44,A27,Rozpočet!H1:Rozpočet!H44)+SUMIF(Rozpočet!K1:Rozpočet!K44,A27,Rozpočet!I1:Rozpočet!I44)+IF($J$12=$A$27,J30,0)</f>
        <v>0</v>
      </c>
      <c r="C27" s="173"/>
      <c r="D27" s="173">
        <f>A27/100*B27</f>
        <v>0</v>
      </c>
      <c r="E27" s="174"/>
      <c r="F27" s="136">
        <f>IF(OR(Přirážky!B16="",Přirážky!I16="Nepoužítá přirážka"),"",Přirážky!B16)</f>
      </c>
      <c r="G27" s="147"/>
      <c r="H27" s="147"/>
      <c r="I27" s="147"/>
      <c r="J27" s="137">
        <f>IF(OR(Přirážky!B16="",Přirážky!I16="Nepoužítá přirážka"),"",IF(Přirážky!D16="VI",Přirážky!G16,Přirážky!H16))</f>
      </c>
      <c r="K27" s="9"/>
      <c r="L27" s="10"/>
      <c r="M27" s="10"/>
      <c r="N27" s="12"/>
      <c r="O27" s="2"/>
      <c r="P27" s="2"/>
      <c r="Q27" s="2"/>
      <c r="R27" s="2"/>
    </row>
    <row r="28" spans="1:18" ht="12.75">
      <c r="A28" s="148">
        <v>20</v>
      </c>
      <c r="B28" s="173">
        <f>SUMIF(Rozpočet!K1:Rozpočet!K44,A28,Rozpočet!H1:Rozpočet!H44)+SUMIF(Rozpočet!K1:Rozpočet!K44,A28,Rozpočet!I1:Rozpočet!I44)+IF($J$12=$A$28,J30,0)</f>
        <v>0</v>
      </c>
      <c r="C28" s="173"/>
      <c r="D28" s="173">
        <f>A28/100*B28</f>
        <v>0</v>
      </c>
      <c r="E28" s="174"/>
      <c r="F28" s="136">
        <f>IF(OR(Přirážky!B17="",Přirážky!I17="Nepoužítá přirážka"),"",Přirážky!B17)</f>
      </c>
      <c r="G28" s="147"/>
      <c r="H28" s="147"/>
      <c r="I28" s="147"/>
      <c r="J28" s="137">
        <f>IF(OR(Přirážky!B17="",Přirážky!I17="Nepoužítá přirážka"),"",IF(Přirážky!D17="VI",Přirážky!G17,Přirážky!H17))</f>
      </c>
      <c r="K28" s="9"/>
      <c r="L28" s="10"/>
      <c r="M28" s="10"/>
      <c r="N28" s="12"/>
      <c r="O28" s="2"/>
      <c r="P28" s="2"/>
      <c r="Q28" s="2"/>
      <c r="R28" s="2"/>
    </row>
    <row r="29" spans="1:18" ht="13.5" thickBot="1">
      <c r="A29" s="148"/>
      <c r="B29" s="173"/>
      <c r="C29" s="173"/>
      <c r="D29" s="173">
        <f>A29/100*B29</f>
        <v>0</v>
      </c>
      <c r="E29" s="174"/>
      <c r="F29" s="136">
        <f>IF(OR(Přirážky!B18="",Přirážky!I18="Nepoužítá přirážka"),"",Přirážky!B18)</f>
      </c>
      <c r="G29" s="147"/>
      <c r="H29" s="147"/>
      <c r="I29" s="147"/>
      <c r="J29" s="137">
        <f>IF(OR(Přirážky!B18="",Přirážky!I18="Nepoužítá přirážka"),"",IF(Přirážky!D18="VI",Přirážky!G18,Přirážky!H18))</f>
      </c>
      <c r="K29" s="9"/>
      <c r="L29" s="10"/>
      <c r="M29" s="10"/>
      <c r="N29" s="12"/>
      <c r="O29" s="2"/>
      <c r="P29" s="2"/>
      <c r="Q29" s="2"/>
      <c r="R29" s="2"/>
    </row>
    <row r="30" spans="1:18" ht="14.25" thickBot="1" thickTop="1">
      <c r="A30" s="13" t="s">
        <v>176</v>
      </c>
      <c r="B30" s="14"/>
      <c r="C30" s="14"/>
      <c r="D30" s="175">
        <f>SUM(D26:E29)</f>
        <v>0</v>
      </c>
      <c r="E30" s="176"/>
      <c r="F30" s="149"/>
      <c r="G30" s="150"/>
      <c r="H30" s="150"/>
      <c r="I30" s="150"/>
      <c r="J30" s="151">
        <f>SUM(J13:J29)</f>
        <v>0</v>
      </c>
      <c r="K30" s="13" t="s">
        <v>167</v>
      </c>
      <c r="L30" s="14"/>
      <c r="M30" s="14"/>
      <c r="N30" s="15"/>
      <c r="O30" s="2"/>
      <c r="P30" s="2"/>
      <c r="Q30" s="2"/>
      <c r="R30" s="2"/>
    </row>
    <row r="31" spans="1:18" ht="13.5" thickBot="1">
      <c r="A31" s="177" t="s">
        <v>200</v>
      </c>
      <c r="B31" s="178"/>
      <c r="C31" s="178"/>
      <c r="D31" s="181">
        <f>D30+D22</f>
        <v>0</v>
      </c>
      <c r="E31" s="182"/>
      <c r="F31" s="185" t="s">
        <v>177</v>
      </c>
      <c r="G31" s="185"/>
      <c r="H31" s="185"/>
      <c r="I31" s="185"/>
      <c r="J31" s="186"/>
      <c r="K31" s="10"/>
      <c r="L31" s="10"/>
      <c r="M31" s="10"/>
      <c r="N31" s="12"/>
      <c r="O31" s="2"/>
      <c r="P31" s="2"/>
      <c r="Q31" s="2"/>
      <c r="R31" s="2"/>
    </row>
    <row r="32" spans="1:18" ht="12.75">
      <c r="A32" s="179"/>
      <c r="B32" s="180"/>
      <c r="C32" s="180"/>
      <c r="D32" s="183"/>
      <c r="E32" s="184"/>
      <c r="F32" s="187" t="s">
        <v>178</v>
      </c>
      <c r="G32" s="187"/>
      <c r="H32" s="187"/>
      <c r="I32" s="152" t="s">
        <v>179</v>
      </c>
      <c r="J32" s="153" t="s">
        <v>180</v>
      </c>
      <c r="K32" s="10" t="s">
        <v>181</v>
      </c>
      <c r="L32" s="10"/>
      <c r="M32" s="10"/>
      <c r="N32" s="12"/>
      <c r="O32" s="2"/>
      <c r="P32" s="2"/>
      <c r="Q32" s="2"/>
      <c r="R32" s="2"/>
    </row>
    <row r="33" spans="1:18" ht="12.75">
      <c r="A33" s="179"/>
      <c r="B33" s="180"/>
      <c r="C33" s="180"/>
      <c r="D33" s="183"/>
      <c r="E33" s="184"/>
      <c r="F33" s="169"/>
      <c r="G33" s="169"/>
      <c r="H33" s="169"/>
      <c r="I33" s="154"/>
      <c r="J33" s="155">
        <f>IF(I33&gt;0,$D$22/I33,"")</f>
      </c>
      <c r="K33" s="10"/>
      <c r="L33" s="10"/>
      <c r="M33" s="10"/>
      <c r="N33" s="12"/>
      <c r="O33" s="2"/>
      <c r="P33" s="2"/>
      <c r="Q33" s="2"/>
      <c r="R33" s="2"/>
    </row>
    <row r="34" spans="1:18" ht="12.75">
      <c r="A34" s="156"/>
      <c r="B34" s="10"/>
      <c r="C34" s="10"/>
      <c r="D34" s="10"/>
      <c r="E34" s="12"/>
      <c r="F34" s="168"/>
      <c r="G34" s="169"/>
      <c r="H34" s="169"/>
      <c r="I34" s="154"/>
      <c r="J34" s="155">
        <f>IF(I34&gt;0,$D$22/I34,"")</f>
      </c>
      <c r="K34" s="10"/>
      <c r="L34" s="10"/>
      <c r="M34" s="10"/>
      <c r="N34" s="12"/>
      <c r="O34" s="2"/>
      <c r="P34" s="2"/>
      <c r="Q34" s="2"/>
      <c r="R34" s="2"/>
    </row>
    <row r="35" spans="1:18" ht="12.75">
      <c r="A35" s="9"/>
      <c r="B35" s="10"/>
      <c r="C35" s="10"/>
      <c r="D35" s="10"/>
      <c r="E35" s="12"/>
      <c r="F35" s="168"/>
      <c r="G35" s="169"/>
      <c r="H35" s="169"/>
      <c r="I35" s="154"/>
      <c r="J35" s="155">
        <f>IF(I35&gt;0,$D$22/I35,"")</f>
      </c>
      <c r="K35" s="10"/>
      <c r="L35" s="10"/>
      <c r="M35" s="10"/>
      <c r="N35" s="12"/>
      <c r="O35" s="2"/>
      <c r="P35" s="2"/>
      <c r="Q35" s="2"/>
      <c r="R35" s="2"/>
    </row>
    <row r="36" spans="1:18" ht="13.5" thickBot="1">
      <c r="A36" s="13"/>
      <c r="B36" s="14"/>
      <c r="C36" s="14"/>
      <c r="D36" s="14"/>
      <c r="E36" s="15"/>
      <c r="F36" s="171"/>
      <c r="G36" s="172"/>
      <c r="H36" s="172"/>
      <c r="I36" s="157"/>
      <c r="J36" s="158">
        <f>IF(I36&gt;0,$D$22/I36,"")</f>
      </c>
      <c r="K36" s="14"/>
      <c r="L36" s="14"/>
      <c r="M36" s="14"/>
      <c r="N36" s="15"/>
      <c r="O36" s="2"/>
      <c r="P36" s="2"/>
      <c r="Q36" s="2"/>
      <c r="R36" s="2"/>
    </row>
    <row r="37" spans="1:18" ht="12.75">
      <c r="A37" s="3"/>
      <c r="B37" s="3"/>
      <c r="C37" s="3"/>
      <c r="D37" s="3"/>
      <c r="E37" s="3"/>
      <c r="F37" s="170"/>
      <c r="G37" s="170"/>
      <c r="H37" s="170"/>
      <c r="I37" s="3"/>
      <c r="J37" s="3"/>
      <c r="K37" s="3"/>
      <c r="L37" s="3"/>
      <c r="M37" s="3"/>
      <c r="N37" s="3"/>
      <c r="O37" s="3"/>
      <c r="P37" s="2"/>
      <c r="Q37" s="2"/>
      <c r="R37" s="2"/>
    </row>
    <row r="38" spans="1:18" ht="12.75">
      <c r="A38" s="3"/>
      <c r="B38" s="3"/>
      <c r="C38" s="3"/>
      <c r="D38" s="3"/>
      <c r="E38" s="3"/>
      <c r="F38" s="170"/>
      <c r="G38" s="170"/>
      <c r="H38" s="170"/>
      <c r="I38" s="3"/>
      <c r="J38" s="3"/>
      <c r="K38" s="3"/>
      <c r="L38" s="3"/>
      <c r="M38" s="3"/>
      <c r="N38" s="3"/>
      <c r="O38" s="3"/>
      <c r="P38" s="2"/>
      <c r="Q38" s="2"/>
      <c r="R38" s="2"/>
    </row>
    <row r="39" spans="1:18" ht="12.75">
      <c r="A39" s="3"/>
      <c r="B39" s="3"/>
      <c r="C39" s="3"/>
      <c r="D39" s="3"/>
      <c r="E39" s="3"/>
      <c r="F39" s="170"/>
      <c r="G39" s="170"/>
      <c r="H39" s="170"/>
      <c r="I39" s="3"/>
      <c r="J39" s="3"/>
      <c r="K39" s="3"/>
      <c r="L39" s="3"/>
      <c r="M39" s="3"/>
      <c r="N39" s="3"/>
      <c r="O39" s="3"/>
      <c r="P39" s="2"/>
      <c r="Q39" s="2"/>
      <c r="R39" s="2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/>
  <mergeCells count="46">
    <mergeCell ref="C7:D7"/>
    <mergeCell ref="C8:D8"/>
    <mergeCell ref="A1:N3"/>
    <mergeCell ref="C5:D5"/>
    <mergeCell ref="G5:M5"/>
    <mergeCell ref="C6:D6"/>
    <mergeCell ref="G6:M6"/>
    <mergeCell ref="C10:D10"/>
    <mergeCell ref="A12:E12"/>
    <mergeCell ref="F12:H12"/>
    <mergeCell ref="A15:A16"/>
    <mergeCell ref="D15:E15"/>
    <mergeCell ref="D16:E16"/>
    <mergeCell ref="A13:A14"/>
    <mergeCell ref="D13:E13"/>
    <mergeCell ref="D14:E14"/>
    <mergeCell ref="B28:C28"/>
    <mergeCell ref="D28:E28"/>
    <mergeCell ref="D19:E19"/>
    <mergeCell ref="D20:E20"/>
    <mergeCell ref="D21:E21"/>
    <mergeCell ref="A22:C23"/>
    <mergeCell ref="D22:E23"/>
    <mergeCell ref="B25:C25"/>
    <mergeCell ref="D25:E25"/>
    <mergeCell ref="B26:C26"/>
    <mergeCell ref="D26:E26"/>
    <mergeCell ref="A17:A18"/>
    <mergeCell ref="D17:E17"/>
    <mergeCell ref="D18:E18"/>
    <mergeCell ref="B27:C27"/>
    <mergeCell ref="D27:E27"/>
    <mergeCell ref="B29:C29"/>
    <mergeCell ref="D29:E29"/>
    <mergeCell ref="D30:E30"/>
    <mergeCell ref="A31:C33"/>
    <mergeCell ref="D31:E33"/>
    <mergeCell ref="F31:J31"/>
    <mergeCell ref="F32:H32"/>
    <mergeCell ref="F33:H33"/>
    <mergeCell ref="F34:H34"/>
    <mergeCell ref="F35:H35"/>
    <mergeCell ref="F38:H38"/>
    <mergeCell ref="F39:H39"/>
    <mergeCell ref="F36:H36"/>
    <mergeCell ref="F37:H37"/>
  </mergeCells>
  <conditionalFormatting sqref="B26:E29">
    <cfRule type="cellIs" priority="1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M36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43.625" style="0" customWidth="1"/>
    <col min="5" max="5" width="9.875" style="0" customWidth="1"/>
    <col min="6" max="6" width="10.25390625" style="0" customWidth="1"/>
    <col min="7" max="7" width="11.125" style="0" customWidth="1"/>
    <col min="8" max="8" width="11.625" style="0" customWidth="1"/>
    <col min="9" max="9" width="30.25390625" style="0" customWidth="1"/>
    <col min="13" max="13" width="0" style="0" hidden="1" customWidth="1"/>
  </cols>
  <sheetData>
    <row r="1" spans="1:13" ht="13.5" thickBot="1">
      <c r="A1" s="101" t="s">
        <v>25</v>
      </c>
      <c r="B1" s="102" t="s">
        <v>142</v>
      </c>
      <c r="C1" s="103" t="s">
        <v>143</v>
      </c>
      <c r="D1" s="104" t="s">
        <v>144</v>
      </c>
      <c r="E1" s="104" t="s">
        <v>145</v>
      </c>
      <c r="F1" s="105" t="s">
        <v>146</v>
      </c>
      <c r="G1" s="103" t="s">
        <v>147</v>
      </c>
      <c r="H1" s="106" t="s">
        <v>148</v>
      </c>
      <c r="I1" s="107" t="s">
        <v>149</v>
      </c>
      <c r="M1" s="127">
        <f>Rekapitulace!F12</f>
        <v>0</v>
      </c>
    </row>
    <row r="2" spans="1:13" ht="16.5" customHeight="1">
      <c r="A2" s="1"/>
      <c r="B2" s="108" t="s">
        <v>192</v>
      </c>
      <c r="C2" s="109" t="s">
        <v>191</v>
      </c>
      <c r="D2" s="110" t="s">
        <v>190</v>
      </c>
      <c r="E2" s="111">
        <v>0</v>
      </c>
      <c r="F2" s="112">
        <v>0</v>
      </c>
      <c r="G2" s="113">
        <f>IF($D2="VI",IF($C2="Kč",$E2,($E2/100)*$F2),"")</f>
        <v>0</v>
      </c>
      <c r="H2" s="114">
        <f>IF($D2="XI",IF($C2="Kč",$E2,($E2/100)*$F2),"")</f>
      </c>
      <c r="I2" s="115"/>
      <c r="M2" s="127">
        <f>Rekapitulace!F12</f>
        <v>0</v>
      </c>
    </row>
    <row r="3" spans="1:9" ht="16.5" customHeight="1">
      <c r="A3" s="1"/>
      <c r="B3" s="116"/>
      <c r="C3" s="117"/>
      <c r="D3" s="118"/>
      <c r="E3" s="119">
        <f>IF(B3="%",Rekapitulace!F12,"")</f>
      </c>
      <c r="F3" s="120"/>
      <c r="G3" s="121">
        <f aca="true" t="shared" si="0" ref="G3:G18">IF(D3="VI",IF(C3="Kč",E3,(E3/100)*F3),"")</f>
      </c>
      <c r="H3" s="114">
        <f aca="true" t="shared" si="1" ref="H3:H18">IF($D3="XI",IF($C3="Kč",$E3,($E3/100)*$F3),"")</f>
      </c>
      <c r="I3" s="115"/>
    </row>
    <row r="4" spans="1:9" ht="16.5" customHeight="1">
      <c r="A4" s="1"/>
      <c r="B4" s="116"/>
      <c r="C4" s="117"/>
      <c r="D4" s="118"/>
      <c r="E4" s="119">
        <f>IF(B4="%",Rekapitulace!F12,"")</f>
      </c>
      <c r="F4" s="120"/>
      <c r="G4" s="121">
        <f t="shared" si="0"/>
      </c>
      <c r="H4" s="114">
        <f t="shared" si="1"/>
      </c>
      <c r="I4" s="115"/>
    </row>
    <row r="5" spans="1:9" ht="16.5" customHeight="1">
      <c r="A5" s="1"/>
      <c r="B5" s="116"/>
      <c r="C5" s="117"/>
      <c r="D5" s="118"/>
      <c r="E5" s="119">
        <f>IF(B5="%",Rekapitulace!F12,"")</f>
      </c>
      <c r="F5" s="120"/>
      <c r="G5" s="121">
        <f t="shared" si="0"/>
      </c>
      <c r="H5" s="114">
        <f t="shared" si="1"/>
      </c>
      <c r="I5" s="115"/>
    </row>
    <row r="6" spans="1:9" ht="16.5" customHeight="1">
      <c r="A6" s="1"/>
      <c r="B6" s="116"/>
      <c r="C6" s="117"/>
      <c r="D6" s="118"/>
      <c r="E6" s="119">
        <f>IF(B6="%",Rekapitulace!F12,"")</f>
      </c>
      <c r="F6" s="120"/>
      <c r="G6" s="121">
        <f t="shared" si="0"/>
      </c>
      <c r="H6" s="114">
        <f t="shared" si="1"/>
      </c>
      <c r="I6" s="115"/>
    </row>
    <row r="7" spans="1:9" ht="16.5" customHeight="1">
      <c r="A7" s="1"/>
      <c r="B7" s="116"/>
      <c r="C7" s="117"/>
      <c r="D7" s="118"/>
      <c r="E7" s="119">
        <f>IF(B7="%",Rekapitulace!F12,"")</f>
      </c>
      <c r="F7" s="120"/>
      <c r="G7" s="121">
        <f t="shared" si="0"/>
      </c>
      <c r="H7" s="114">
        <f t="shared" si="1"/>
      </c>
      <c r="I7" s="115"/>
    </row>
    <row r="8" spans="1:9" ht="16.5" customHeight="1">
      <c r="A8" s="1"/>
      <c r="B8" s="116"/>
      <c r="C8" s="117"/>
      <c r="D8" s="118"/>
      <c r="E8" s="119">
        <f>IF(B8="%",Rekapitulace!F12,"")</f>
      </c>
      <c r="F8" s="120"/>
      <c r="G8" s="121">
        <f t="shared" si="0"/>
      </c>
      <c r="H8" s="114">
        <f t="shared" si="1"/>
      </c>
      <c r="I8" s="115"/>
    </row>
    <row r="9" spans="1:9" ht="16.5" customHeight="1">
      <c r="A9" s="1"/>
      <c r="B9" s="116"/>
      <c r="C9" s="117"/>
      <c r="D9" s="118"/>
      <c r="E9" s="119">
        <f>IF(B9="%",Rekapitulace!F12,"")</f>
      </c>
      <c r="F9" s="120"/>
      <c r="G9" s="121">
        <f t="shared" si="0"/>
      </c>
      <c r="H9" s="114">
        <f t="shared" si="1"/>
      </c>
      <c r="I9" s="115"/>
    </row>
    <row r="10" spans="1:9" ht="16.5" customHeight="1">
      <c r="A10" s="1"/>
      <c r="B10" s="116"/>
      <c r="C10" s="117"/>
      <c r="D10" s="118"/>
      <c r="E10" s="119">
        <f>IF(B10="%",Rekapitulace!F12,"")</f>
      </c>
      <c r="F10" s="120"/>
      <c r="G10" s="121">
        <f t="shared" si="0"/>
      </c>
      <c r="H10" s="114">
        <f t="shared" si="1"/>
      </c>
      <c r="I10" s="115"/>
    </row>
    <row r="11" spans="1:9" ht="16.5" customHeight="1">
      <c r="A11" s="1"/>
      <c r="B11" s="116"/>
      <c r="C11" s="117"/>
      <c r="D11" s="118"/>
      <c r="E11" s="119">
        <f>IF(B11="%",Rekapitulace!F12,"")</f>
      </c>
      <c r="F11" s="120"/>
      <c r="G11" s="121">
        <f t="shared" si="0"/>
      </c>
      <c r="H11" s="114">
        <f t="shared" si="1"/>
      </c>
      <c r="I11" s="115"/>
    </row>
    <row r="12" spans="1:9" ht="16.5" customHeight="1">
      <c r="A12" s="1"/>
      <c r="B12" s="116"/>
      <c r="C12" s="117"/>
      <c r="D12" s="118"/>
      <c r="E12" s="119">
        <f>IF(B12="%",Rekapitulace!F12,"")</f>
      </c>
      <c r="F12" s="120"/>
      <c r="G12" s="121">
        <f t="shared" si="0"/>
      </c>
      <c r="H12" s="114">
        <f t="shared" si="1"/>
      </c>
      <c r="I12" s="115"/>
    </row>
    <row r="13" spans="1:9" ht="16.5" customHeight="1">
      <c r="A13" s="1"/>
      <c r="B13" s="116"/>
      <c r="C13" s="117"/>
      <c r="D13" s="118"/>
      <c r="E13" s="119">
        <f>IF(B13="%",Rekapitulace!F12,"")</f>
      </c>
      <c r="F13" s="120"/>
      <c r="G13" s="121">
        <f t="shared" si="0"/>
      </c>
      <c r="H13" s="114">
        <f t="shared" si="1"/>
      </c>
      <c r="I13" s="115"/>
    </row>
    <row r="14" spans="1:9" ht="16.5" customHeight="1">
      <c r="A14" s="1"/>
      <c r="B14" s="116"/>
      <c r="C14" s="117"/>
      <c r="D14" s="118"/>
      <c r="E14" s="119">
        <f>IF(B14="%",Rekapitulace!F12,"")</f>
      </c>
      <c r="F14" s="120"/>
      <c r="G14" s="121">
        <f t="shared" si="0"/>
      </c>
      <c r="H14" s="114">
        <f t="shared" si="1"/>
      </c>
      <c r="I14" s="115"/>
    </row>
    <row r="15" spans="1:9" ht="16.5" customHeight="1">
      <c r="A15" s="1"/>
      <c r="B15" s="116"/>
      <c r="C15" s="117"/>
      <c r="D15" s="118"/>
      <c r="E15" s="119">
        <f>IF(B15="%",Rekapitulace!F12,"")</f>
      </c>
      <c r="F15" s="120"/>
      <c r="G15" s="121">
        <f t="shared" si="0"/>
      </c>
      <c r="H15" s="114">
        <f t="shared" si="1"/>
      </c>
      <c r="I15" s="115"/>
    </row>
    <row r="16" spans="1:9" ht="16.5" customHeight="1">
      <c r="A16" s="1"/>
      <c r="B16" s="116"/>
      <c r="C16" s="117"/>
      <c r="D16" s="118"/>
      <c r="E16" s="119">
        <f>IF(B16="%",Rekapitulace!F12,"")</f>
      </c>
      <c r="F16" s="120"/>
      <c r="G16" s="121">
        <f t="shared" si="0"/>
      </c>
      <c r="H16" s="114">
        <f t="shared" si="1"/>
      </c>
      <c r="I16" s="115"/>
    </row>
    <row r="17" spans="1:9" ht="16.5" customHeight="1">
      <c r="A17" s="1"/>
      <c r="B17" s="116"/>
      <c r="C17" s="117"/>
      <c r="D17" s="118"/>
      <c r="E17" s="119">
        <f>IF(B17="%",Rekapitulace!F12,"")</f>
      </c>
      <c r="F17" s="120"/>
      <c r="G17" s="121">
        <f t="shared" si="0"/>
      </c>
      <c r="H17" s="114">
        <f t="shared" si="1"/>
      </c>
      <c r="I17" s="115"/>
    </row>
    <row r="18" spans="1:9" ht="16.5" customHeight="1" thickBot="1">
      <c r="A18" s="1"/>
      <c r="B18" s="116"/>
      <c r="C18" s="117"/>
      <c r="D18" s="118"/>
      <c r="E18" s="119">
        <f>IF(B18="%",Rekapitulace!F12,"")</f>
      </c>
      <c r="F18" s="120"/>
      <c r="G18" s="121">
        <f t="shared" si="0"/>
      </c>
      <c r="H18" s="114">
        <f t="shared" si="1"/>
      </c>
      <c r="I18" s="122"/>
    </row>
    <row r="19" spans="1:8" ht="13.5" thickBot="1">
      <c r="A19" s="123" t="s">
        <v>150</v>
      </c>
      <c r="B19" s="124"/>
      <c r="C19" s="124"/>
      <c r="D19" s="124"/>
      <c r="E19" s="124"/>
      <c r="F19" s="124"/>
      <c r="G19" s="125">
        <f>SUM(G2:G18)</f>
        <v>0</v>
      </c>
      <c r="H19" s="126">
        <f>SUM(H2:H18)</f>
        <v>0</v>
      </c>
    </row>
    <row r="20" spans="3:8" ht="12.75">
      <c r="C20" s="118"/>
      <c r="D20" s="118"/>
      <c r="E20" s="120"/>
      <c r="F20" s="120"/>
      <c r="G20" s="120">
        <f>IF($D20="VI",IF($C20="Kč",$E20,($E20/100)*$F20),"")</f>
      </c>
      <c r="H20" s="120">
        <f>IF($D20="XI",IF($C20="Kč",$E20,($E20/100)*$F20),"")</f>
      </c>
    </row>
    <row r="21" spans="3:8" ht="12.75">
      <c r="C21" s="118"/>
      <c r="D21" s="118"/>
      <c r="E21" s="120"/>
      <c r="F21" s="120"/>
      <c r="G21" s="120">
        <f aca="true" t="shared" si="2" ref="G21:G36">IF(D21="VI",IF(C21="Kč",E21,(E21/100)*F21),"")</f>
      </c>
      <c r="H21" s="120">
        <f aca="true" t="shared" si="3" ref="H21:H36">IF($D21="XI",IF($C21="Kč",$E21,($E21/100)*$F21),"")</f>
      </c>
    </row>
    <row r="22" spans="3:8" ht="12.75">
      <c r="C22" s="118"/>
      <c r="D22" s="118"/>
      <c r="E22" s="120"/>
      <c r="F22" s="120"/>
      <c r="G22" s="120">
        <f t="shared" si="2"/>
      </c>
      <c r="H22" s="120">
        <f t="shared" si="3"/>
      </c>
    </row>
    <row r="23" spans="3:8" ht="12.75">
      <c r="C23" s="118"/>
      <c r="D23" s="118"/>
      <c r="E23" s="120"/>
      <c r="F23" s="120"/>
      <c r="G23" s="120">
        <f t="shared" si="2"/>
      </c>
      <c r="H23" s="120">
        <f t="shared" si="3"/>
      </c>
    </row>
    <row r="24" spans="3:8" ht="12.75">
      <c r="C24" s="118"/>
      <c r="D24" s="118"/>
      <c r="E24" s="120"/>
      <c r="F24" s="120"/>
      <c r="G24" s="120">
        <f t="shared" si="2"/>
      </c>
      <c r="H24" s="120">
        <f t="shared" si="3"/>
      </c>
    </row>
    <row r="25" spans="3:8" ht="12.75">
      <c r="C25" s="118"/>
      <c r="D25" s="118"/>
      <c r="E25" s="120"/>
      <c r="F25" s="120"/>
      <c r="G25" s="120">
        <f t="shared" si="2"/>
      </c>
      <c r="H25" s="120">
        <f t="shared" si="3"/>
      </c>
    </row>
    <row r="26" spans="3:8" ht="12.75">
      <c r="C26" s="118"/>
      <c r="D26" s="118"/>
      <c r="E26" s="120"/>
      <c r="F26" s="120"/>
      <c r="G26" s="120">
        <f t="shared" si="2"/>
      </c>
      <c r="H26" s="120">
        <f t="shared" si="3"/>
      </c>
    </row>
    <row r="27" spans="3:8" ht="12.75">
      <c r="C27" s="118"/>
      <c r="D27" s="118"/>
      <c r="E27" s="120"/>
      <c r="F27" s="120"/>
      <c r="G27" s="120">
        <f t="shared" si="2"/>
      </c>
      <c r="H27" s="120">
        <f t="shared" si="3"/>
      </c>
    </row>
    <row r="28" spans="3:8" ht="12.75">
      <c r="C28" s="118"/>
      <c r="D28" s="118"/>
      <c r="E28" s="120"/>
      <c r="F28" s="120"/>
      <c r="G28" s="120">
        <f t="shared" si="2"/>
      </c>
      <c r="H28" s="120">
        <f t="shared" si="3"/>
      </c>
    </row>
    <row r="29" spans="3:8" ht="12.75">
      <c r="C29" s="118"/>
      <c r="D29" s="118"/>
      <c r="E29" s="120"/>
      <c r="F29" s="120"/>
      <c r="G29" s="120">
        <f t="shared" si="2"/>
      </c>
      <c r="H29" s="120">
        <f t="shared" si="3"/>
      </c>
    </row>
    <row r="30" spans="3:8" ht="12.75">
      <c r="C30" s="118"/>
      <c r="D30" s="118"/>
      <c r="E30" s="120"/>
      <c r="F30" s="120"/>
      <c r="G30" s="120">
        <f t="shared" si="2"/>
      </c>
      <c r="H30" s="120">
        <f t="shared" si="3"/>
      </c>
    </row>
    <row r="31" spans="3:8" ht="12.75">
      <c r="C31" s="118"/>
      <c r="D31" s="118"/>
      <c r="E31" s="120"/>
      <c r="F31" s="120"/>
      <c r="G31" s="120">
        <f t="shared" si="2"/>
      </c>
      <c r="H31" s="120">
        <f t="shared" si="3"/>
      </c>
    </row>
    <row r="32" spans="3:8" ht="12.75">
      <c r="C32" s="118"/>
      <c r="D32" s="118"/>
      <c r="E32" s="120"/>
      <c r="F32" s="120"/>
      <c r="G32" s="120">
        <f t="shared" si="2"/>
      </c>
      <c r="H32" s="120">
        <f t="shared" si="3"/>
      </c>
    </row>
    <row r="33" spans="3:8" ht="12.75">
      <c r="C33" s="118"/>
      <c r="D33" s="118"/>
      <c r="E33" s="120"/>
      <c r="F33" s="120"/>
      <c r="G33" s="120">
        <f t="shared" si="2"/>
      </c>
      <c r="H33" s="120">
        <f t="shared" si="3"/>
      </c>
    </row>
    <row r="34" spans="3:8" ht="12.75">
      <c r="C34" s="118"/>
      <c r="D34" s="118"/>
      <c r="E34" s="120"/>
      <c r="F34" s="120"/>
      <c r="G34" s="120">
        <f t="shared" si="2"/>
      </c>
      <c r="H34" s="120">
        <f t="shared" si="3"/>
      </c>
    </row>
    <row r="35" spans="3:8" ht="12.75">
      <c r="C35" s="118"/>
      <c r="D35" s="118"/>
      <c r="E35" s="120"/>
      <c r="F35" s="120"/>
      <c r="G35" s="120">
        <f t="shared" si="2"/>
      </c>
      <c r="H35" s="120">
        <f t="shared" si="3"/>
      </c>
    </row>
    <row r="36" spans="3:8" ht="12.75">
      <c r="C36" s="118"/>
      <c r="D36" s="118"/>
      <c r="E36" s="120"/>
      <c r="F36" s="120"/>
      <c r="G36" s="120">
        <f t="shared" si="2"/>
      </c>
      <c r="H36" s="120">
        <f t="shared" si="3"/>
      </c>
    </row>
  </sheetData>
  <sheetProtection/>
  <dataValidations count="2">
    <dataValidation type="list" allowBlank="1" showInputMessage="1" showErrorMessage="1" sqref="D2:D18 D20:D36">
      <formula1>"VI,XI"</formula1>
    </dataValidation>
    <dataValidation type="list" allowBlank="1" showInputMessage="1" showErrorMessage="1" sqref="C2:C18 C20:C36">
      <formula1>"%,Kč"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54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E46" sqref="E46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38.125" style="0" customWidth="1"/>
    <col min="4" max="4" width="6.125" style="0" customWidth="1"/>
    <col min="5" max="5" width="12.375" style="0" customWidth="1"/>
    <col min="6" max="6" width="10.625" style="0" customWidth="1"/>
    <col min="7" max="7" width="12.00390625" style="0" bestFit="1" customWidth="1"/>
    <col min="8" max="8" width="11.625" style="0" bestFit="1" customWidth="1"/>
    <col min="9" max="9" width="11.00390625" style="0" customWidth="1"/>
    <col min="10" max="10" width="10.875" style="0" customWidth="1"/>
    <col min="11" max="11" width="4.875" style="0" bestFit="1" customWidth="1"/>
    <col min="12" max="12" width="9.75390625" style="0" customWidth="1"/>
    <col min="17" max="17" width="0" style="0" hidden="1" customWidth="1"/>
  </cols>
  <sheetData>
    <row r="1" spans="1:26" s="28" customFormat="1" ht="12.75">
      <c r="A1" s="25" t="s">
        <v>25</v>
      </c>
      <c r="B1" s="25" t="s">
        <v>26</v>
      </c>
      <c r="C1" s="25" t="s">
        <v>27</v>
      </c>
      <c r="D1" s="25" t="s">
        <v>28</v>
      </c>
      <c r="E1" s="26" t="s">
        <v>29</v>
      </c>
      <c r="F1" s="222" t="s">
        <v>30</v>
      </c>
      <c r="G1" s="223"/>
      <c r="H1" s="223"/>
      <c r="I1" s="224"/>
      <c r="J1" s="27" t="s">
        <v>31</v>
      </c>
      <c r="K1" s="27" t="s">
        <v>32</v>
      </c>
      <c r="L1" s="27" t="s">
        <v>33</v>
      </c>
      <c r="M1" s="27" t="s">
        <v>34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28" customFormat="1" ht="13.5" thickBot="1">
      <c r="A2" s="29" t="s">
        <v>35</v>
      </c>
      <c r="B2" s="29" t="s">
        <v>36</v>
      </c>
      <c r="C2" s="29"/>
      <c r="D2" s="29" t="s">
        <v>37</v>
      </c>
      <c r="E2" s="30" t="s">
        <v>36</v>
      </c>
      <c r="F2" s="31" t="s">
        <v>38</v>
      </c>
      <c r="G2" s="31" t="s">
        <v>39</v>
      </c>
      <c r="H2" s="32" t="s">
        <v>40</v>
      </c>
      <c r="I2" s="33" t="s">
        <v>41</v>
      </c>
      <c r="J2" s="31" t="s">
        <v>42</v>
      </c>
      <c r="K2" s="31" t="s">
        <v>43</v>
      </c>
      <c r="L2" s="31"/>
      <c r="M2" s="3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thickBot="1">
      <c r="A3" s="225" t="s">
        <v>49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0"/>
      <c r="B4" s="220" t="s">
        <v>50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1" t="s">
        <v>51</v>
      </c>
      <c r="B5" s="41" t="s">
        <v>52</v>
      </c>
      <c r="C5" s="42" t="s">
        <v>182</v>
      </c>
      <c r="D5" s="41" t="s">
        <v>53</v>
      </c>
      <c r="E5" s="43">
        <v>58</v>
      </c>
      <c r="F5" s="44"/>
      <c r="G5" s="44">
        <f>F5*L5*Úvod!E16</f>
        <v>0</v>
      </c>
      <c r="H5" s="44">
        <f>IF(E5=0,,E5*G5)</f>
        <v>0</v>
      </c>
      <c r="I5" s="44"/>
      <c r="J5" s="45">
        <f>0.00029*E5</f>
        <v>0.01682</v>
      </c>
      <c r="K5" s="46">
        <v>0</v>
      </c>
      <c r="L5" s="47">
        <v>1</v>
      </c>
      <c r="M5" s="41" t="s">
        <v>54</v>
      </c>
      <c r="N5" s="2"/>
      <c r="O5" s="2"/>
      <c r="P5" s="2"/>
      <c r="Q5" s="2" t="s">
        <v>55</v>
      </c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8" t="s">
        <v>51</v>
      </c>
      <c r="B6" s="48" t="s">
        <v>56</v>
      </c>
      <c r="C6" s="49" t="s">
        <v>57</v>
      </c>
      <c r="D6" s="48" t="s">
        <v>53</v>
      </c>
      <c r="E6" s="50">
        <v>11</v>
      </c>
      <c r="F6" s="51"/>
      <c r="G6" s="51">
        <f>F6*L6*Úvod!E16</f>
        <v>0</v>
      </c>
      <c r="H6" s="51">
        <f>IF(E6=0,,E6*G6)</f>
        <v>0</v>
      </c>
      <c r="I6" s="51"/>
      <c r="J6" s="52">
        <f>0.0003*E6</f>
        <v>0.0032999999999999995</v>
      </c>
      <c r="K6" s="53">
        <v>0</v>
      </c>
      <c r="L6" s="54">
        <v>1</v>
      </c>
      <c r="M6" s="48" t="s">
        <v>54</v>
      </c>
      <c r="N6" s="2"/>
      <c r="O6" s="2"/>
      <c r="P6" s="2"/>
      <c r="Q6" s="2" t="s">
        <v>58</v>
      </c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8" t="s">
        <v>51</v>
      </c>
      <c r="B7" s="48"/>
      <c r="C7" s="49" t="s">
        <v>193</v>
      </c>
      <c r="D7" s="48" t="s">
        <v>194</v>
      </c>
      <c r="E7" s="50">
        <v>472</v>
      </c>
      <c r="F7" s="51"/>
      <c r="G7" s="51">
        <f>F7*L7*Úvod!E16</f>
        <v>0</v>
      </c>
      <c r="H7" s="51">
        <f>IF(E7=0,,E7*G7)</f>
        <v>0</v>
      </c>
      <c r="I7" s="51"/>
      <c r="J7" s="52"/>
      <c r="K7" s="53"/>
      <c r="L7" s="54">
        <v>1</v>
      </c>
      <c r="M7" s="4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8" t="s">
        <v>51</v>
      </c>
      <c r="B8" s="48"/>
      <c r="C8" s="49" t="s">
        <v>195</v>
      </c>
      <c r="D8" s="48" t="s">
        <v>194</v>
      </c>
      <c r="E8" s="50">
        <v>124</v>
      </c>
      <c r="F8" s="51"/>
      <c r="G8" s="51">
        <f>F8*L8*Úvod!E16</f>
        <v>0</v>
      </c>
      <c r="H8" s="51">
        <f>IF(E8=0,,E8*G8)</f>
        <v>0</v>
      </c>
      <c r="I8" s="51"/>
      <c r="J8" s="52"/>
      <c r="K8" s="53"/>
      <c r="L8" s="54">
        <v>1</v>
      </c>
      <c r="M8" s="4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55" t="s">
        <v>51</v>
      </c>
      <c r="B9" s="55" t="s">
        <v>59</v>
      </c>
      <c r="C9" s="56" t="s">
        <v>60</v>
      </c>
      <c r="D9" s="55" t="s">
        <v>53</v>
      </c>
      <c r="E9" s="57">
        <v>16</v>
      </c>
      <c r="F9" s="58"/>
      <c r="G9" s="58">
        <f>F9*L9*Úvod!E16</f>
        <v>0</v>
      </c>
      <c r="H9" s="58">
        <f>IF(E9=0,,E9*G9)</f>
        <v>0</v>
      </c>
      <c r="I9" s="58"/>
      <c r="J9" s="59">
        <f>0.00032*E9</f>
        <v>0.00512</v>
      </c>
      <c r="K9" s="60">
        <v>0</v>
      </c>
      <c r="L9" s="61">
        <v>1</v>
      </c>
      <c r="M9" s="55" t="s">
        <v>54</v>
      </c>
      <c r="N9" s="2"/>
      <c r="O9" s="2"/>
      <c r="P9" s="2"/>
      <c r="Q9" s="2" t="s">
        <v>61</v>
      </c>
      <c r="R9" s="2"/>
      <c r="S9" s="2"/>
      <c r="T9" s="2"/>
      <c r="U9" s="2"/>
      <c r="V9" s="2"/>
      <c r="W9" s="2"/>
      <c r="X9" s="2"/>
      <c r="Y9" s="2"/>
      <c r="Z9" s="2"/>
    </row>
    <row r="10" spans="1:26" ht="13.5" thickBot="1">
      <c r="A10" s="62"/>
      <c r="B10" s="63" t="s">
        <v>62</v>
      </c>
      <c r="C10" s="63"/>
      <c r="D10" s="63"/>
      <c r="E10" s="64"/>
      <c r="F10" s="65"/>
      <c r="G10" s="65">
        <f>H10+I10</f>
        <v>0</v>
      </c>
      <c r="H10" s="65">
        <f>SUM(H5:H9)</f>
        <v>0</v>
      </c>
      <c r="I10" s="65">
        <f>SUM(I5:I9)</f>
        <v>0</v>
      </c>
      <c r="J10" s="66">
        <f>SUM(J5:J9)</f>
        <v>0.025240000000000002</v>
      </c>
      <c r="K10" s="67"/>
      <c r="L10" s="68"/>
      <c r="M10" s="6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40"/>
      <c r="B11" s="220" t="s">
        <v>63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69" t="s">
        <v>64</v>
      </c>
      <c r="B12" s="69" t="s">
        <v>65</v>
      </c>
      <c r="C12" s="70" t="s">
        <v>66</v>
      </c>
      <c r="D12" s="69" t="s">
        <v>67</v>
      </c>
      <c r="E12" s="71">
        <v>1</v>
      </c>
      <c r="F12" s="72"/>
      <c r="G12" s="72">
        <f>F12*L12*Úvod!E16</f>
        <v>0</v>
      </c>
      <c r="H12" s="72">
        <f>IF(E12=0,,E12*G12)</f>
        <v>0</v>
      </c>
      <c r="I12" s="72"/>
      <c r="J12" s="73">
        <f>0.001*E12</f>
        <v>0.001</v>
      </c>
      <c r="K12" s="74">
        <v>0</v>
      </c>
      <c r="L12" s="75">
        <v>1</v>
      </c>
      <c r="M12" s="69" t="s">
        <v>54</v>
      </c>
      <c r="N12" s="2"/>
      <c r="O12" s="2"/>
      <c r="P12" s="2"/>
      <c r="Q12" s="2" t="s">
        <v>68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3.5" thickBot="1">
      <c r="A13" s="62"/>
      <c r="B13" s="63" t="s">
        <v>69</v>
      </c>
      <c r="C13" s="63"/>
      <c r="D13" s="63"/>
      <c r="E13" s="64"/>
      <c r="F13" s="65"/>
      <c r="G13" s="65">
        <f>H13+I13</f>
        <v>0</v>
      </c>
      <c r="H13" s="65">
        <f>SUM(H12:H12)</f>
        <v>0</v>
      </c>
      <c r="I13" s="65">
        <f>SUM(I12:I12)</f>
        <v>0</v>
      </c>
      <c r="J13" s="66">
        <f>SUM(J12:J12)</f>
        <v>0.001</v>
      </c>
      <c r="K13" s="67"/>
      <c r="L13" s="68"/>
      <c r="M13" s="6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0"/>
      <c r="B14" s="220" t="s">
        <v>70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1" t="s">
        <v>71</v>
      </c>
      <c r="B15" s="41" t="s">
        <v>72</v>
      </c>
      <c r="C15" s="42" t="s">
        <v>73</v>
      </c>
      <c r="D15" s="41" t="s">
        <v>67</v>
      </c>
      <c r="E15" s="43">
        <v>1</v>
      </c>
      <c r="F15" s="44"/>
      <c r="G15" s="44">
        <f>F15*L15*Úvod!E16</f>
        <v>0</v>
      </c>
      <c r="H15" s="44">
        <f>IF(E15=0,,E15*G15)</f>
        <v>0</v>
      </c>
      <c r="I15" s="44"/>
      <c r="J15" s="45">
        <f>0.07691*E15</f>
        <v>0.07691</v>
      </c>
      <c r="K15" s="46">
        <v>0</v>
      </c>
      <c r="L15" s="47">
        <v>1</v>
      </c>
      <c r="M15" s="41" t="s">
        <v>54</v>
      </c>
      <c r="N15" s="2"/>
      <c r="O15" s="2"/>
      <c r="P15" s="2"/>
      <c r="Q15" s="2" t="s">
        <v>74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48" t="s">
        <v>75</v>
      </c>
      <c r="B16" s="48" t="s">
        <v>76</v>
      </c>
      <c r="C16" s="49" t="s">
        <v>77</v>
      </c>
      <c r="D16" s="48" t="s">
        <v>67</v>
      </c>
      <c r="E16" s="50">
        <v>1</v>
      </c>
      <c r="F16" s="51"/>
      <c r="G16" s="51">
        <f>F16*L16*Úvod!E16</f>
        <v>0</v>
      </c>
      <c r="H16" s="51">
        <f>IF(E16=0,,E16*G16)</f>
        <v>0</v>
      </c>
      <c r="I16" s="51"/>
      <c r="J16" s="52">
        <f>0.00559*E16</f>
        <v>0.00559</v>
      </c>
      <c r="K16" s="53">
        <v>0</v>
      </c>
      <c r="L16" s="54">
        <v>1</v>
      </c>
      <c r="M16" s="48" t="s">
        <v>54</v>
      </c>
      <c r="N16" s="2"/>
      <c r="O16" s="2"/>
      <c r="P16" s="2"/>
      <c r="Q16" s="2" t="s">
        <v>78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48" t="s">
        <v>71</v>
      </c>
      <c r="B17" s="48" t="s">
        <v>79</v>
      </c>
      <c r="C17" s="49" t="s">
        <v>80</v>
      </c>
      <c r="D17" s="48" t="s">
        <v>67</v>
      </c>
      <c r="E17" s="50">
        <v>1</v>
      </c>
      <c r="F17" s="51"/>
      <c r="G17" s="51">
        <f>F17*L17*Úvod!E16</f>
        <v>0</v>
      </c>
      <c r="H17" s="51">
        <f>IF(E17=0,,E17*G17)</f>
        <v>0</v>
      </c>
      <c r="I17" s="51"/>
      <c r="J17" s="52">
        <f>0.08183*E17</f>
        <v>0.08183</v>
      </c>
      <c r="K17" s="53">
        <v>0</v>
      </c>
      <c r="L17" s="54">
        <v>1</v>
      </c>
      <c r="M17" s="48" t="s">
        <v>54</v>
      </c>
      <c r="N17" s="2"/>
      <c r="O17" s="2"/>
      <c r="P17" s="2"/>
      <c r="Q17" s="2" t="s">
        <v>81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55" t="s">
        <v>75</v>
      </c>
      <c r="B18" s="55" t="s">
        <v>82</v>
      </c>
      <c r="C18" s="56" t="s">
        <v>77</v>
      </c>
      <c r="D18" s="55" t="s">
        <v>67</v>
      </c>
      <c r="E18" s="57">
        <v>1</v>
      </c>
      <c r="F18" s="58"/>
      <c r="G18" s="58">
        <f>F18*L18*Úvod!E16</f>
        <v>0</v>
      </c>
      <c r="H18" s="58">
        <f>IF(E18=0,,E18*G18)</f>
        <v>0</v>
      </c>
      <c r="I18" s="58"/>
      <c r="J18" s="59">
        <f>0.00773*E18</f>
        <v>0.00773</v>
      </c>
      <c r="K18" s="60">
        <v>0</v>
      </c>
      <c r="L18" s="61">
        <v>1</v>
      </c>
      <c r="M18" s="55" t="s">
        <v>54</v>
      </c>
      <c r="N18" s="2"/>
      <c r="O18" s="2"/>
      <c r="P18" s="2"/>
      <c r="Q18" s="2" t="s">
        <v>83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3.5" thickBot="1">
      <c r="A19" s="62"/>
      <c r="B19" s="63" t="s">
        <v>84</v>
      </c>
      <c r="C19" s="63"/>
      <c r="D19" s="63"/>
      <c r="E19" s="64"/>
      <c r="F19" s="65"/>
      <c r="G19" s="65">
        <f>H19+I19</f>
        <v>0</v>
      </c>
      <c r="H19" s="65">
        <f>SUM(H15:H18)</f>
        <v>0</v>
      </c>
      <c r="I19" s="65">
        <f>SUM(I15:I18)</f>
        <v>0</v>
      </c>
      <c r="J19" s="66">
        <f>SUM(J15:J18)</f>
        <v>0.17206</v>
      </c>
      <c r="K19" s="67"/>
      <c r="L19" s="68"/>
      <c r="M19" s="6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76"/>
      <c r="B20" s="226" t="s">
        <v>85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1" t="s">
        <v>71</v>
      </c>
      <c r="B21" s="41" t="s">
        <v>86</v>
      </c>
      <c r="C21" s="42" t="s">
        <v>183</v>
      </c>
      <c r="D21" s="41" t="s">
        <v>53</v>
      </c>
      <c r="E21" s="43">
        <v>58</v>
      </c>
      <c r="F21" s="44"/>
      <c r="G21" s="44">
        <f>F21*L21*Úvod!E16</f>
        <v>0</v>
      </c>
      <c r="H21" s="44">
        <f>IF(E21=0,,E21*G21)</f>
        <v>0</v>
      </c>
      <c r="I21" s="44"/>
      <c r="J21" s="45">
        <f>0.00936*E21</f>
        <v>0.54288</v>
      </c>
      <c r="K21" s="46">
        <v>0</v>
      </c>
      <c r="L21" s="47">
        <v>1</v>
      </c>
      <c r="M21" s="41" t="s">
        <v>54</v>
      </c>
      <c r="N21" s="2"/>
      <c r="O21" s="2"/>
      <c r="P21" s="2"/>
      <c r="Q21" s="2" t="s">
        <v>87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8" t="s">
        <v>71</v>
      </c>
      <c r="B22" s="48" t="s">
        <v>88</v>
      </c>
      <c r="C22" s="49" t="s">
        <v>184</v>
      </c>
      <c r="D22" s="48" t="s">
        <v>53</v>
      </c>
      <c r="E22" s="50">
        <v>11</v>
      </c>
      <c r="F22" s="51"/>
      <c r="G22" s="51">
        <f>F22*L22*Úvod!E16</f>
        <v>0</v>
      </c>
      <c r="H22" s="51">
        <f aca="true" t="shared" si="0" ref="H22:H27">IF(E22=0,,E22*G22)</f>
        <v>0</v>
      </c>
      <c r="I22" s="51"/>
      <c r="J22" s="52">
        <f>0.01154*E22</f>
        <v>0.12694</v>
      </c>
      <c r="K22" s="53">
        <v>0</v>
      </c>
      <c r="L22" s="54">
        <v>1</v>
      </c>
      <c r="M22" s="48" t="s">
        <v>54</v>
      </c>
      <c r="N22" s="2"/>
      <c r="O22" s="2"/>
      <c r="P22" s="2"/>
      <c r="Q22" s="2" t="s">
        <v>89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8" t="s">
        <v>71</v>
      </c>
      <c r="B23" s="48" t="s">
        <v>90</v>
      </c>
      <c r="C23" s="49" t="s">
        <v>185</v>
      </c>
      <c r="D23" s="48" t="s">
        <v>53</v>
      </c>
      <c r="E23" s="50">
        <v>16</v>
      </c>
      <c r="F23" s="51"/>
      <c r="G23" s="51">
        <f>F23*L23*Úvod!E16</f>
        <v>0</v>
      </c>
      <c r="H23" s="51">
        <f t="shared" si="0"/>
        <v>0</v>
      </c>
      <c r="I23" s="51"/>
      <c r="J23" s="52">
        <f>0.00962*E23</f>
        <v>0.15392</v>
      </c>
      <c r="K23" s="53">
        <v>0</v>
      </c>
      <c r="L23" s="54">
        <v>1</v>
      </c>
      <c r="M23" s="48" t="s">
        <v>54</v>
      </c>
      <c r="N23" s="2"/>
      <c r="O23" s="2"/>
      <c r="P23" s="2"/>
      <c r="Q23" s="2" t="s">
        <v>91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8" t="s">
        <v>71</v>
      </c>
      <c r="B24" s="48" t="s">
        <v>92</v>
      </c>
      <c r="C24" s="49" t="s">
        <v>186</v>
      </c>
      <c r="D24" s="48" t="s">
        <v>53</v>
      </c>
      <c r="E24" s="50">
        <v>58</v>
      </c>
      <c r="F24" s="51"/>
      <c r="G24" s="51">
        <f>F24*L24*Úvod!E16</f>
        <v>0</v>
      </c>
      <c r="H24" s="51">
        <f t="shared" si="0"/>
        <v>0</v>
      </c>
      <c r="I24" s="51"/>
      <c r="J24" s="52">
        <f>0.01345*E24</f>
        <v>0.7801</v>
      </c>
      <c r="K24" s="53">
        <v>0</v>
      </c>
      <c r="L24" s="54">
        <v>1</v>
      </c>
      <c r="M24" s="48" t="s">
        <v>54</v>
      </c>
      <c r="N24" s="2"/>
      <c r="O24" s="2"/>
      <c r="P24" s="2"/>
      <c r="Q24" s="2" t="s">
        <v>93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8" t="s">
        <v>71</v>
      </c>
      <c r="B25" s="48" t="s">
        <v>94</v>
      </c>
      <c r="C25" s="49" t="s">
        <v>187</v>
      </c>
      <c r="D25" s="48" t="s">
        <v>53</v>
      </c>
      <c r="E25" s="50">
        <v>26</v>
      </c>
      <c r="F25" s="51"/>
      <c r="G25" s="51">
        <f>F25*L25*Úvod!E16</f>
        <v>0</v>
      </c>
      <c r="H25" s="51">
        <f t="shared" si="0"/>
        <v>0</v>
      </c>
      <c r="I25" s="51"/>
      <c r="J25" s="52">
        <f>0.00472*E25</f>
        <v>0.12272000000000001</v>
      </c>
      <c r="K25" s="53">
        <v>0</v>
      </c>
      <c r="L25" s="54">
        <v>1</v>
      </c>
      <c r="M25" s="48" t="s">
        <v>54</v>
      </c>
      <c r="N25" s="2"/>
      <c r="O25" s="2"/>
      <c r="P25" s="2"/>
      <c r="Q25" s="2" t="s">
        <v>95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8" t="s">
        <v>71</v>
      </c>
      <c r="B26" s="159" t="s">
        <v>96</v>
      </c>
      <c r="C26" s="49" t="s">
        <v>99</v>
      </c>
      <c r="D26" s="160" t="s">
        <v>105</v>
      </c>
      <c r="E26" s="50">
        <v>1</v>
      </c>
      <c r="F26" s="51"/>
      <c r="G26" s="51">
        <f>F26*L26*Úvod!E16</f>
        <v>0</v>
      </c>
      <c r="H26" s="51">
        <f t="shared" si="0"/>
        <v>0</v>
      </c>
      <c r="I26" s="51"/>
      <c r="J26" s="52">
        <f>0*E26</f>
        <v>0</v>
      </c>
      <c r="K26" s="53">
        <v>0</v>
      </c>
      <c r="L26" s="54">
        <v>1</v>
      </c>
      <c r="M26" s="48" t="s">
        <v>54</v>
      </c>
      <c r="N26" s="2"/>
      <c r="O26" s="2"/>
      <c r="P26" s="2"/>
      <c r="Q26" s="2" t="s">
        <v>97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25.5">
      <c r="A27" s="55" t="s">
        <v>71</v>
      </c>
      <c r="B27" s="55" t="s">
        <v>98</v>
      </c>
      <c r="C27" s="56" t="s">
        <v>188</v>
      </c>
      <c r="D27" s="55" t="s">
        <v>67</v>
      </c>
      <c r="E27" s="57">
        <v>1</v>
      </c>
      <c r="F27" s="58"/>
      <c r="G27" s="58">
        <f>F27*L27*Úvod!E16</f>
        <v>0</v>
      </c>
      <c r="H27" s="58">
        <f t="shared" si="0"/>
        <v>0</v>
      </c>
      <c r="I27" s="58"/>
      <c r="J27" s="59">
        <f>0.00354*E27</f>
        <v>0.00354</v>
      </c>
      <c r="K27" s="60">
        <v>0</v>
      </c>
      <c r="L27" s="61">
        <v>1</v>
      </c>
      <c r="M27" s="55" t="s">
        <v>54</v>
      </c>
      <c r="N27" s="2"/>
      <c r="O27" s="2"/>
      <c r="P27" s="2"/>
      <c r="Q27" s="2" t="s">
        <v>100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3.5" thickBot="1">
      <c r="A28" s="62"/>
      <c r="B28" s="63" t="s">
        <v>101</v>
      </c>
      <c r="C28" s="63"/>
      <c r="D28" s="63"/>
      <c r="E28" s="64"/>
      <c r="F28" s="65"/>
      <c r="G28" s="65">
        <f>H28+I28</f>
        <v>0</v>
      </c>
      <c r="H28" s="65">
        <f>SUM(H21:H27)</f>
        <v>0</v>
      </c>
      <c r="I28" s="65">
        <f>SUM(I21:I27)</f>
        <v>0</v>
      </c>
      <c r="J28" s="66">
        <f>SUM(J21:J27)</f>
        <v>1.7301000000000002</v>
      </c>
      <c r="K28" s="67"/>
      <c r="L28" s="68"/>
      <c r="M28" s="6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40"/>
      <c r="B29" s="220" t="s">
        <v>102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41" t="s">
        <v>71</v>
      </c>
      <c r="B30" s="41" t="s">
        <v>103</v>
      </c>
      <c r="C30" s="42" t="s">
        <v>104</v>
      </c>
      <c r="D30" s="41" t="s">
        <v>105</v>
      </c>
      <c r="E30" s="43">
        <v>2</v>
      </c>
      <c r="F30" s="44"/>
      <c r="G30" s="44">
        <f>F30*L30*Úvod!E16</f>
        <v>0</v>
      </c>
      <c r="H30" s="44">
        <f aca="true" t="shared" si="1" ref="H30:H41">IF(E30=0,,E30*G30)</f>
        <v>0</v>
      </c>
      <c r="I30" s="44"/>
      <c r="J30" s="45">
        <f>0.03433*E30</f>
        <v>0.06866</v>
      </c>
      <c r="K30" s="46">
        <v>0</v>
      </c>
      <c r="L30" s="47">
        <v>1</v>
      </c>
      <c r="M30" s="41" t="s">
        <v>54</v>
      </c>
      <c r="N30" s="2"/>
      <c r="O30" s="2"/>
      <c r="P30" s="2"/>
      <c r="Q30" s="2" t="s">
        <v>106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25.5">
      <c r="A31" s="48" t="s">
        <v>71</v>
      </c>
      <c r="B31" s="48" t="s">
        <v>107</v>
      </c>
      <c r="C31" s="49" t="s">
        <v>108</v>
      </c>
      <c r="D31" s="48" t="s">
        <v>105</v>
      </c>
      <c r="E31" s="50">
        <v>1</v>
      </c>
      <c r="F31" s="51"/>
      <c r="G31" s="51">
        <f>F31*L31*Úvod!E16</f>
        <v>0</v>
      </c>
      <c r="H31" s="51">
        <f t="shared" si="1"/>
        <v>0</v>
      </c>
      <c r="I31" s="51"/>
      <c r="J31" s="52">
        <f>0.07479*E31</f>
        <v>0.07479</v>
      </c>
      <c r="K31" s="53">
        <v>0</v>
      </c>
      <c r="L31" s="54">
        <v>1</v>
      </c>
      <c r="M31" s="48" t="s">
        <v>54</v>
      </c>
      <c r="N31" s="2"/>
      <c r="O31" s="2"/>
      <c r="P31" s="2"/>
      <c r="Q31" s="2" t="s">
        <v>109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48" t="s">
        <v>71</v>
      </c>
      <c r="B32" s="48" t="s">
        <v>110</v>
      </c>
      <c r="C32" s="49" t="s">
        <v>111</v>
      </c>
      <c r="D32" s="48" t="s">
        <v>67</v>
      </c>
      <c r="E32" s="50">
        <v>2</v>
      </c>
      <c r="F32" s="51"/>
      <c r="G32" s="51">
        <f>F32*L32*Úvod!E16</f>
        <v>0</v>
      </c>
      <c r="H32" s="51">
        <f t="shared" si="1"/>
        <v>0</v>
      </c>
      <c r="I32" s="51"/>
      <c r="J32" s="52">
        <f>0.00007*E32</f>
        <v>0.00014</v>
      </c>
      <c r="K32" s="53">
        <v>0</v>
      </c>
      <c r="L32" s="54">
        <v>1</v>
      </c>
      <c r="M32" s="48" t="s">
        <v>54</v>
      </c>
      <c r="N32" s="2"/>
      <c r="O32" s="2"/>
      <c r="P32" s="2"/>
      <c r="Q32" s="2" t="s">
        <v>112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48" t="s">
        <v>71</v>
      </c>
      <c r="B33" s="48" t="s">
        <v>113</v>
      </c>
      <c r="C33" s="49" t="s">
        <v>114</v>
      </c>
      <c r="D33" s="48" t="s">
        <v>67</v>
      </c>
      <c r="E33" s="50">
        <v>8</v>
      </c>
      <c r="F33" s="51"/>
      <c r="G33" s="51">
        <f>F33*L33*Úvod!E16</f>
        <v>0</v>
      </c>
      <c r="H33" s="51">
        <f t="shared" si="1"/>
        <v>0</v>
      </c>
      <c r="I33" s="51"/>
      <c r="J33" s="52">
        <f>0.00113*E33</f>
        <v>0.00904</v>
      </c>
      <c r="K33" s="53">
        <v>0</v>
      </c>
      <c r="L33" s="54">
        <v>1</v>
      </c>
      <c r="M33" s="48" t="s">
        <v>54</v>
      </c>
      <c r="N33" s="2"/>
      <c r="O33" s="2"/>
      <c r="P33" s="2"/>
      <c r="Q33" s="2" t="s">
        <v>115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48" t="s">
        <v>71</v>
      </c>
      <c r="B34" s="48" t="s">
        <v>116</v>
      </c>
      <c r="C34" s="49" t="s">
        <v>117</v>
      </c>
      <c r="D34" s="48" t="s">
        <v>67</v>
      </c>
      <c r="E34" s="50">
        <v>8</v>
      </c>
      <c r="F34" s="51"/>
      <c r="G34" s="51">
        <f>F34*L34*Úvod!E16</f>
        <v>0</v>
      </c>
      <c r="H34" s="51">
        <f t="shared" si="1"/>
        <v>0</v>
      </c>
      <c r="I34" s="51"/>
      <c r="J34" s="52">
        <f>0.0014*E34</f>
        <v>0.0112</v>
      </c>
      <c r="K34" s="53">
        <v>0</v>
      </c>
      <c r="L34" s="54">
        <v>1</v>
      </c>
      <c r="M34" s="48" t="s">
        <v>54</v>
      </c>
      <c r="N34" s="2"/>
      <c r="O34" s="2"/>
      <c r="P34" s="2"/>
      <c r="Q34" s="2" t="s">
        <v>118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48" t="s">
        <v>71</v>
      </c>
      <c r="B35" s="48" t="s">
        <v>119</v>
      </c>
      <c r="C35" s="49" t="s">
        <v>120</v>
      </c>
      <c r="D35" s="48" t="s">
        <v>67</v>
      </c>
      <c r="E35" s="50">
        <v>16</v>
      </c>
      <c r="F35" s="51"/>
      <c r="G35" s="51">
        <f>F35*L35*Úvod!E16</f>
        <v>0</v>
      </c>
      <c r="H35" s="51">
        <f t="shared" si="1"/>
        <v>0</v>
      </c>
      <c r="I35" s="51"/>
      <c r="J35" s="52">
        <f>0.00225*E35</f>
        <v>0.036</v>
      </c>
      <c r="K35" s="53">
        <v>0</v>
      </c>
      <c r="L35" s="54">
        <v>1</v>
      </c>
      <c r="M35" s="48" t="s">
        <v>54</v>
      </c>
      <c r="N35" s="2"/>
      <c r="O35" s="2"/>
      <c r="P35" s="2"/>
      <c r="Q35" s="2" t="s">
        <v>121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8" t="s">
        <v>71</v>
      </c>
      <c r="B36" s="48" t="s">
        <v>122</v>
      </c>
      <c r="C36" s="49" t="s">
        <v>123</v>
      </c>
      <c r="D36" s="48" t="s">
        <v>67</v>
      </c>
      <c r="E36" s="50">
        <v>2</v>
      </c>
      <c r="F36" s="51"/>
      <c r="G36" s="51">
        <f>F36*L36*Úvod!E16</f>
        <v>0</v>
      </c>
      <c r="H36" s="51">
        <f t="shared" si="1"/>
        <v>0</v>
      </c>
      <c r="I36" s="51"/>
      <c r="J36" s="52">
        <f>0.00374*E36</f>
        <v>0.00748</v>
      </c>
      <c r="K36" s="53">
        <v>0</v>
      </c>
      <c r="L36" s="54">
        <v>1</v>
      </c>
      <c r="M36" s="48" t="s">
        <v>54</v>
      </c>
      <c r="N36" s="2"/>
      <c r="O36" s="2"/>
      <c r="P36" s="2"/>
      <c r="Q36" s="2" t="s">
        <v>124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48" t="s">
        <v>71</v>
      </c>
      <c r="B37" s="48" t="s">
        <v>125</v>
      </c>
      <c r="C37" s="49" t="s">
        <v>126</v>
      </c>
      <c r="D37" s="48" t="s">
        <v>67</v>
      </c>
      <c r="E37" s="50">
        <v>10</v>
      </c>
      <c r="F37" s="51"/>
      <c r="G37" s="51">
        <f>F37*L37*Úvod!E16</f>
        <v>0</v>
      </c>
      <c r="H37" s="51">
        <f t="shared" si="1"/>
        <v>0</v>
      </c>
      <c r="I37" s="51"/>
      <c r="J37" s="52">
        <f>0.00049*E37</f>
        <v>0.0049</v>
      </c>
      <c r="K37" s="53">
        <v>0</v>
      </c>
      <c r="L37" s="54">
        <v>1</v>
      </c>
      <c r="M37" s="48" t="s">
        <v>54</v>
      </c>
      <c r="N37" s="2"/>
      <c r="O37" s="2"/>
      <c r="P37" s="2"/>
      <c r="Q37" s="2" t="s">
        <v>127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8" t="s">
        <v>71</v>
      </c>
      <c r="B38" s="48" t="s">
        <v>128</v>
      </c>
      <c r="C38" s="49" t="s">
        <v>129</v>
      </c>
      <c r="D38" s="48" t="s">
        <v>67</v>
      </c>
      <c r="E38" s="50">
        <v>15</v>
      </c>
      <c r="F38" s="51"/>
      <c r="G38" s="51">
        <f>F38*L38*Úvod!E16</f>
        <v>0</v>
      </c>
      <c r="H38" s="51">
        <f t="shared" si="1"/>
        <v>0</v>
      </c>
      <c r="I38" s="51"/>
      <c r="J38" s="52">
        <f>0.0006*E38</f>
        <v>0.009</v>
      </c>
      <c r="K38" s="53">
        <v>0</v>
      </c>
      <c r="L38" s="54">
        <v>1</v>
      </c>
      <c r="M38" s="48" t="s">
        <v>54</v>
      </c>
      <c r="N38" s="2"/>
      <c r="O38" s="2"/>
      <c r="P38" s="2"/>
      <c r="Q38" s="2" t="s">
        <v>130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8" t="s">
        <v>71</v>
      </c>
      <c r="B39" s="48" t="s">
        <v>131</v>
      </c>
      <c r="C39" s="49" t="s">
        <v>132</v>
      </c>
      <c r="D39" s="48" t="s">
        <v>67</v>
      </c>
      <c r="E39" s="50">
        <v>12</v>
      </c>
      <c r="F39" s="51"/>
      <c r="G39" s="51">
        <f>F39*L39*Úvod!E16</f>
        <v>0</v>
      </c>
      <c r="H39" s="51">
        <f t="shared" si="1"/>
        <v>0</v>
      </c>
      <c r="I39" s="51"/>
      <c r="J39" s="52">
        <f>0.00271*E39</f>
        <v>0.03252</v>
      </c>
      <c r="K39" s="53">
        <v>0</v>
      </c>
      <c r="L39" s="54">
        <v>1</v>
      </c>
      <c r="M39" s="48" t="s">
        <v>54</v>
      </c>
      <c r="N39" s="2"/>
      <c r="O39" s="2"/>
      <c r="P39" s="2"/>
      <c r="Q39" s="2" t="s">
        <v>133</v>
      </c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48" t="s">
        <v>71</v>
      </c>
      <c r="B40" s="48" t="s">
        <v>134</v>
      </c>
      <c r="C40" s="49" t="s">
        <v>135</v>
      </c>
      <c r="D40" s="48" t="s">
        <v>67</v>
      </c>
      <c r="E40" s="50">
        <v>12</v>
      </c>
      <c r="F40" s="51"/>
      <c r="G40" s="51">
        <f>F40*L40*Úvod!E16</f>
        <v>0</v>
      </c>
      <c r="H40" s="51">
        <f t="shared" si="1"/>
        <v>0</v>
      </c>
      <c r="I40" s="51"/>
      <c r="J40" s="52">
        <f>0.0004*E40</f>
        <v>0.0048000000000000004</v>
      </c>
      <c r="K40" s="53">
        <v>0</v>
      </c>
      <c r="L40" s="54">
        <v>1</v>
      </c>
      <c r="M40" s="48" t="s">
        <v>54</v>
      </c>
      <c r="N40" s="2"/>
      <c r="O40" s="2"/>
      <c r="P40" s="2"/>
      <c r="Q40" s="2" t="s">
        <v>136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55" t="s">
        <v>71</v>
      </c>
      <c r="B41" s="55" t="s">
        <v>137</v>
      </c>
      <c r="C41" s="56" t="s">
        <v>189</v>
      </c>
      <c r="D41" s="55" t="s">
        <v>105</v>
      </c>
      <c r="E41" s="57">
        <v>1</v>
      </c>
      <c r="F41" s="58"/>
      <c r="G41" s="58">
        <f>F41*L41*Úvod!E16</f>
        <v>0</v>
      </c>
      <c r="H41" s="58">
        <f t="shared" si="1"/>
        <v>0</v>
      </c>
      <c r="I41" s="58"/>
      <c r="J41" s="59">
        <f>0.00024*E41</f>
        <v>0.00024</v>
      </c>
      <c r="K41" s="60">
        <v>0</v>
      </c>
      <c r="L41" s="61">
        <v>1</v>
      </c>
      <c r="M41" s="55" t="s">
        <v>54</v>
      </c>
      <c r="N41" s="2"/>
      <c r="O41" s="2"/>
      <c r="P41" s="2"/>
      <c r="Q41" s="2" t="s">
        <v>138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ht="13.5" thickBot="1">
      <c r="A42" s="77"/>
      <c r="B42" s="78" t="s">
        <v>139</v>
      </c>
      <c r="C42" s="78"/>
      <c r="D42" s="78"/>
      <c r="E42" s="79"/>
      <c r="F42" s="80"/>
      <c r="G42" s="80">
        <f>H42+I42</f>
        <v>0</v>
      </c>
      <c r="H42" s="80">
        <f>SUM(H30:H41)</f>
        <v>0</v>
      </c>
      <c r="I42" s="80">
        <f>SUM(I30:I41)</f>
        <v>0</v>
      </c>
      <c r="J42" s="81">
        <f>SUM(J30:J41)</f>
        <v>0.25877</v>
      </c>
      <c r="K42" s="82"/>
      <c r="L42" s="83"/>
      <c r="M42" s="8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</sheetData>
  <sheetProtection/>
  <mergeCells count="7">
    <mergeCell ref="B29:M29"/>
    <mergeCell ref="F1:I1"/>
    <mergeCell ref="A3:M3"/>
    <mergeCell ref="B4:M4"/>
    <mergeCell ref="B11:M11"/>
    <mergeCell ref="B14:M14"/>
    <mergeCell ref="B20:M2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&amp;LRozpočet&amp;C&amp;F&amp;RStránka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Z46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9.125" style="38" customWidth="1"/>
    <col min="2" max="2" width="46.75390625" style="38" customWidth="1"/>
    <col min="3" max="5" width="9.125" style="38" customWidth="1"/>
    <col min="6" max="7" width="12.125" style="38" bestFit="1" customWidth="1"/>
    <col min="8" max="9" width="10.75390625" style="38" customWidth="1"/>
    <col min="10" max="16384" width="9.125" style="34" customWidth="1"/>
  </cols>
  <sheetData>
    <row r="1" spans="1:26" ht="16.5">
      <c r="A1" s="227" t="s">
        <v>44</v>
      </c>
      <c r="B1" s="228"/>
      <c r="C1" s="228"/>
      <c r="D1" s="228"/>
      <c r="E1" s="228"/>
      <c r="F1" s="228"/>
      <c r="G1" s="228"/>
      <c r="H1" s="228"/>
      <c r="I1" s="2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thickBot="1">
      <c r="A2" s="87"/>
      <c r="B2" s="88"/>
      <c r="C2" s="88"/>
      <c r="D2" s="88"/>
      <c r="E2" s="88"/>
      <c r="F2" s="89" t="s">
        <v>45</v>
      </c>
      <c r="G2" s="89" t="s">
        <v>46</v>
      </c>
      <c r="H2" s="89" t="s">
        <v>47</v>
      </c>
      <c r="I2" s="90" t="s">
        <v>48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91" t="s">
        <v>49</v>
      </c>
      <c r="B3" s="92"/>
      <c r="C3" s="92"/>
      <c r="D3" s="92"/>
      <c r="E3" s="92"/>
      <c r="F3" s="92"/>
      <c r="G3" s="92"/>
      <c r="H3" s="92"/>
      <c r="I3" s="9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94"/>
      <c r="B4" s="92" t="s">
        <v>50</v>
      </c>
      <c r="C4" s="92"/>
      <c r="D4" s="92"/>
      <c r="E4" s="92"/>
      <c r="F4" s="95">
        <f>G4+H4</f>
        <v>0</v>
      </c>
      <c r="G4" s="95">
        <f>Rozpočet!H10</f>
        <v>0</v>
      </c>
      <c r="H4" s="95">
        <f>Rozpočet!I10</f>
        <v>0</v>
      </c>
      <c r="I4" s="93">
        <f>Rozpočet!J10</f>
        <v>0.025240000000000002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94"/>
      <c r="B5" s="92" t="s">
        <v>63</v>
      </c>
      <c r="C5" s="92"/>
      <c r="D5" s="92"/>
      <c r="E5" s="92"/>
      <c r="F5" s="95">
        <f>G5+H5</f>
        <v>0</v>
      </c>
      <c r="G5" s="95">
        <f>Rozpočet!H13</f>
        <v>0</v>
      </c>
      <c r="H5" s="95">
        <f>Rozpočet!I13</f>
        <v>0</v>
      </c>
      <c r="I5" s="93">
        <f>Rozpočet!J13</f>
        <v>0.001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4"/>
      <c r="B6" s="92" t="s">
        <v>70</v>
      </c>
      <c r="C6" s="92"/>
      <c r="D6" s="92"/>
      <c r="E6" s="92"/>
      <c r="F6" s="95">
        <f>G6+H6</f>
        <v>0</v>
      </c>
      <c r="G6" s="95">
        <f>Rozpočet!H19</f>
        <v>0</v>
      </c>
      <c r="H6" s="95">
        <f>Rozpočet!I19</f>
        <v>0</v>
      </c>
      <c r="I6" s="93">
        <f>Rozpočet!J19</f>
        <v>0.17206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4"/>
      <c r="B7" s="92" t="s">
        <v>85</v>
      </c>
      <c r="C7" s="92"/>
      <c r="D7" s="92"/>
      <c r="E7" s="92"/>
      <c r="F7" s="95">
        <f>G7+H7</f>
        <v>0</v>
      </c>
      <c r="G7" s="95">
        <f>Rozpočet!H28</f>
        <v>0</v>
      </c>
      <c r="H7" s="95">
        <f>Rozpočet!I28</f>
        <v>0</v>
      </c>
      <c r="I7" s="93">
        <f>Rozpočet!J28</f>
        <v>1.7301000000000002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94"/>
      <c r="B8" s="92" t="s">
        <v>102</v>
      </c>
      <c r="C8" s="92"/>
      <c r="D8" s="92"/>
      <c r="E8" s="92"/>
      <c r="F8" s="95">
        <f>G8+H8</f>
        <v>0</v>
      </c>
      <c r="G8" s="95">
        <f>Rozpočet!H42</f>
        <v>0</v>
      </c>
      <c r="H8" s="95">
        <f>Rozpočet!I42</f>
        <v>0</v>
      </c>
      <c r="I8" s="93">
        <f>Rozpočet!J42</f>
        <v>0.25877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4"/>
      <c r="B9" s="92"/>
      <c r="C9" s="92"/>
      <c r="D9" s="92"/>
      <c r="E9" s="92"/>
      <c r="F9" s="95"/>
      <c r="G9" s="95"/>
      <c r="H9" s="95"/>
      <c r="I9" s="9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1" t="s">
        <v>140</v>
      </c>
      <c r="B10" s="92"/>
      <c r="C10" s="92"/>
      <c r="D10" s="92"/>
      <c r="E10" s="92"/>
      <c r="F10" s="96">
        <f>G10+H10</f>
        <v>0</v>
      </c>
      <c r="G10" s="96">
        <f>SUM(G4:G8)</f>
        <v>0</v>
      </c>
      <c r="H10" s="96">
        <f>SUM(H4:H8)</f>
        <v>0</v>
      </c>
      <c r="I10" s="97">
        <f>SUM(I4:I8)</f>
        <v>2.18717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4"/>
      <c r="B11" s="92"/>
      <c r="C11" s="92"/>
      <c r="D11" s="92"/>
      <c r="E11" s="92"/>
      <c r="F11" s="95"/>
      <c r="G11" s="95"/>
      <c r="H11" s="95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1" t="s">
        <v>141</v>
      </c>
      <c r="B12" s="98"/>
      <c r="C12" s="98"/>
      <c r="D12" s="98"/>
      <c r="E12" s="98"/>
      <c r="F12" s="96">
        <f>G12+H12</f>
        <v>0</v>
      </c>
      <c r="G12" s="96">
        <f>G10</f>
        <v>0</v>
      </c>
      <c r="H12" s="96">
        <f>H10</f>
        <v>0</v>
      </c>
      <c r="I12" s="97">
        <f>I10</f>
        <v>2.18717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thickBot="1">
      <c r="A13" s="87"/>
      <c r="B13" s="88"/>
      <c r="C13" s="88"/>
      <c r="D13" s="88"/>
      <c r="E13" s="88"/>
      <c r="F13" s="99"/>
      <c r="G13" s="99"/>
      <c r="H13" s="99"/>
      <c r="I13" s="10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84"/>
      <c r="B14" s="84"/>
      <c r="C14" s="84"/>
      <c r="D14" s="84"/>
      <c r="E14" s="84"/>
      <c r="F14" s="84"/>
      <c r="G14" s="84"/>
      <c r="H14" s="84"/>
      <c r="I14" s="8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84"/>
      <c r="B15" s="84"/>
      <c r="C15" s="84"/>
      <c r="D15" s="84"/>
      <c r="E15" s="84"/>
      <c r="F15" s="84"/>
      <c r="G15" s="84"/>
      <c r="H15" s="84"/>
      <c r="I15" s="8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84"/>
      <c r="B16" s="84"/>
      <c r="C16" s="84"/>
      <c r="D16" s="84"/>
      <c r="E16" s="84"/>
      <c r="F16" s="85"/>
      <c r="G16" s="85"/>
      <c r="H16" s="85"/>
      <c r="I16" s="8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84"/>
      <c r="B17" s="84"/>
      <c r="C17" s="84"/>
      <c r="D17" s="84"/>
      <c r="E17" s="84"/>
      <c r="F17" s="85"/>
      <c r="G17" s="85"/>
      <c r="H17" s="85"/>
      <c r="I17" s="8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84"/>
      <c r="B18" s="84"/>
      <c r="C18" s="84"/>
      <c r="D18" s="84"/>
      <c r="E18" s="84"/>
      <c r="F18" s="85"/>
      <c r="G18" s="85"/>
      <c r="H18" s="85"/>
      <c r="I18" s="8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84"/>
      <c r="B19" s="84"/>
      <c r="C19" s="84"/>
      <c r="D19" s="84"/>
      <c r="E19" s="84"/>
      <c r="F19" s="85"/>
      <c r="G19" s="85"/>
      <c r="H19" s="85"/>
      <c r="I19" s="8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84"/>
      <c r="B20" s="84"/>
      <c r="C20" s="84"/>
      <c r="D20" s="84"/>
      <c r="E20" s="84"/>
      <c r="F20" s="85"/>
      <c r="G20" s="85"/>
      <c r="H20" s="85"/>
      <c r="I20" s="8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84"/>
      <c r="B21" s="84"/>
      <c r="C21" s="84"/>
      <c r="D21" s="84"/>
      <c r="E21" s="84"/>
      <c r="F21" s="85"/>
      <c r="G21" s="85"/>
      <c r="H21" s="85"/>
      <c r="I21" s="8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84"/>
      <c r="B22" s="84"/>
      <c r="C22" s="84"/>
      <c r="D22" s="84"/>
      <c r="E22" s="84"/>
      <c r="F22" s="85"/>
      <c r="G22" s="85"/>
      <c r="H22" s="85"/>
      <c r="I22" s="8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84"/>
      <c r="B23" s="84"/>
      <c r="C23" s="84"/>
      <c r="D23" s="84"/>
      <c r="E23" s="84"/>
      <c r="F23" s="85"/>
      <c r="G23" s="85"/>
      <c r="H23" s="85"/>
      <c r="I23" s="8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9" ht="12.75">
      <c r="A24" s="35"/>
      <c r="B24" s="35"/>
      <c r="C24" s="35"/>
      <c r="D24" s="35"/>
      <c r="E24" s="35"/>
      <c r="F24" s="37"/>
      <c r="G24" s="37"/>
      <c r="H24" s="37"/>
      <c r="I24" s="36"/>
    </row>
    <row r="25" spans="1:9" ht="12.75">
      <c r="A25" s="35"/>
      <c r="B25" s="35"/>
      <c r="C25" s="35"/>
      <c r="D25" s="35"/>
      <c r="E25" s="35"/>
      <c r="F25" s="37"/>
      <c r="G25" s="37"/>
      <c r="H25" s="37"/>
      <c r="I25" s="36"/>
    </row>
    <row r="26" spans="1:9" ht="12.75">
      <c r="A26" s="35"/>
      <c r="B26" s="35"/>
      <c r="C26" s="35"/>
      <c r="D26" s="35"/>
      <c r="E26" s="35"/>
      <c r="F26" s="37"/>
      <c r="G26" s="37"/>
      <c r="H26" s="37"/>
      <c r="I26" s="36"/>
    </row>
    <row r="27" spans="1:9" ht="12.75">
      <c r="A27" s="35"/>
      <c r="B27" s="35"/>
      <c r="C27" s="35"/>
      <c r="D27" s="35"/>
      <c r="E27" s="35"/>
      <c r="F27" s="37"/>
      <c r="G27" s="37"/>
      <c r="H27" s="37"/>
      <c r="I27" s="36"/>
    </row>
    <row r="28" spans="1:9" ht="12.75">
      <c r="A28" s="35"/>
      <c r="B28" s="35"/>
      <c r="C28" s="35"/>
      <c r="D28" s="35"/>
      <c r="E28" s="35"/>
      <c r="F28" s="37"/>
      <c r="G28" s="37"/>
      <c r="H28" s="37"/>
      <c r="I28" s="36"/>
    </row>
    <row r="29" spans="1:9" ht="12.75">
      <c r="A29" s="35"/>
      <c r="B29" s="35"/>
      <c r="C29" s="35"/>
      <c r="D29" s="35"/>
      <c r="E29" s="35"/>
      <c r="F29" s="37"/>
      <c r="G29" s="37"/>
      <c r="H29" s="37"/>
      <c r="I29" s="36"/>
    </row>
    <row r="30" spans="1:9" ht="12.75">
      <c r="A30" s="35"/>
      <c r="B30" s="35"/>
      <c r="C30" s="35"/>
      <c r="D30" s="35"/>
      <c r="E30" s="35"/>
      <c r="F30" s="37"/>
      <c r="G30" s="37"/>
      <c r="H30" s="37"/>
      <c r="I30" s="36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6"/>
    </row>
    <row r="32" spans="1:9" ht="12.75">
      <c r="A32" s="35"/>
      <c r="B32" s="35"/>
      <c r="C32" s="35"/>
      <c r="D32" s="35"/>
      <c r="E32" s="35"/>
      <c r="F32" s="37"/>
      <c r="G32" s="37"/>
      <c r="H32" s="37"/>
      <c r="I32" s="36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6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6"/>
    </row>
    <row r="35" spans="1:9" ht="12.75">
      <c r="A35" s="35"/>
      <c r="B35" s="35"/>
      <c r="C35" s="35"/>
      <c r="D35" s="35"/>
      <c r="E35" s="35"/>
      <c r="F35" s="37"/>
      <c r="G35" s="37"/>
      <c r="H35" s="37"/>
      <c r="I35" s="36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6"/>
    </row>
    <row r="37" spans="1:9" ht="12.75">
      <c r="A37" s="35"/>
      <c r="B37" s="35"/>
      <c r="C37" s="35"/>
      <c r="D37" s="35"/>
      <c r="E37" s="35"/>
      <c r="F37" s="37"/>
      <c r="G37" s="37"/>
      <c r="H37" s="37"/>
      <c r="I37" s="36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6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2.75">
      <c r="A40" s="35"/>
      <c r="B40" s="35"/>
      <c r="C40" s="35"/>
      <c r="D40" s="35"/>
      <c r="E40" s="35"/>
      <c r="F40" s="37"/>
      <c r="G40" s="37"/>
      <c r="H40" s="37"/>
      <c r="I40" s="36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6"/>
    </row>
    <row r="42" spans="1:9" ht="12.75">
      <c r="A42" s="35"/>
      <c r="B42" s="35"/>
      <c r="C42" s="35"/>
      <c r="D42" s="35"/>
      <c r="E42" s="35"/>
      <c r="F42" s="37"/>
      <c r="G42" s="37"/>
      <c r="H42" s="37"/>
      <c r="I42" s="36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6"/>
    </row>
    <row r="44" spans="1:9" ht="12.75">
      <c r="A44" s="35"/>
      <c r="B44" s="35"/>
      <c r="C44" s="35"/>
      <c r="D44" s="35"/>
      <c r="E44" s="35"/>
      <c r="F44" s="37"/>
      <c r="G44" s="37"/>
      <c r="H44" s="37"/>
      <c r="I44" s="36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6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&amp;LRekapitulace&amp;C&amp;F&amp;RStránka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Žalman Petr</cp:lastModifiedBy>
  <cp:lastPrinted>2012-07-25T09:26:55Z</cp:lastPrinted>
  <dcterms:created xsi:type="dcterms:W3CDTF">2001-11-23T16:23:28Z</dcterms:created>
  <dcterms:modified xsi:type="dcterms:W3CDTF">2012-08-14T11:00:46Z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