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05" windowHeight="11970" tabRatio="598" activeTab="1"/>
  </bookViews>
  <sheets>
    <sheet name="výkaz výměr - rozpočet celkem" sheetId="1" r:id="rId1"/>
    <sheet name="elektromontáže rozpočet" sheetId="2" r:id="rId2"/>
    <sheet name="List1" sheetId="3" r:id="rId3"/>
    <sheet name="Výkaz výměr" sheetId="4" state="hidden" r:id="rId4"/>
    <sheet name="List3" sheetId="5" r:id="rId5"/>
    <sheet name="List2" sheetId="6" r:id="rId6"/>
  </sheets>
  <definedNames>
    <definedName name="_xlnm.Print_Titles" localSheetId="1">'elektromontáže rozpočet'!$5:$5</definedName>
  </definedNames>
  <calcPr fullCalcOnLoad="1"/>
</workbook>
</file>

<file path=xl/sharedStrings.xml><?xml version="1.0" encoding="utf-8"?>
<sst xmlns="http://schemas.openxmlformats.org/spreadsheetml/2006/main" count="1679" uniqueCount="489">
  <si>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</si>
  <si>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</si>
  <si>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</si>
  <si>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</si>
  <si>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</si>
  <si>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</si>
  <si>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</si>
  <si>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</si>
  <si>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</si>
  <si>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</si>
  <si>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</si>
  <si>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</si>
  <si>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</si>
  <si>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</si>
  <si>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</si>
  <si>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</si>
  <si>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</si>
  <si>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</si>
  <si>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</si>
  <si>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</si>
  <si>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</si>
  <si>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</si>
  <si>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</si>
  <si>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</si>
  <si>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</si>
  <si>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</si>
  <si>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</si>
  <si>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</si>
  <si>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</si>
  <si>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</si>
  <si>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</si>
  <si>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</si>
  <si>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</si>
  <si>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</si>
  <si>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</si>
  <si>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</si>
  <si>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</si>
  <si>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</si>
  <si>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</si>
  <si>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</si>
  <si>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</si>
  <si>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</si>
  <si>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</si>
  <si>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</si>
  <si>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</si>
  <si>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</si>
  <si>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</si>
  <si>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</si>
  <si>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</si>
  <si>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</si>
  <si>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</si>
  <si>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</si>
  <si>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</si>
  <si>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</si>
  <si>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</si>
  <si>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</si>
  <si>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</si>
  <si>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</si>
  <si>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</si>
  <si>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</si>
  <si>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</si>
  <si>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</si>
  <si>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</si>
  <si>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</si>
  <si>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</si>
  <si>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</si>
  <si>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</si>
  <si>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</si>
  <si>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</si>
  <si>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</si>
  <si>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</si>
  <si>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</si>
  <si>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</si>
  <si>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</si>
  <si>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</si>
  <si>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</si>
  <si>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</si>
  <si>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</si>
  <si>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</si>
  <si>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</si>
  <si>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</si>
  <si>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</si>
  <si>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Poznámka:</t>
  </si>
  <si>
    <t>Objekt</t>
  </si>
  <si>
    <t>SO-01</t>
  </si>
  <si>
    <t>SO-O1</t>
  </si>
  <si>
    <t>SO-O2</t>
  </si>
  <si>
    <t>Kód</t>
  </si>
  <si>
    <t>95</t>
  </si>
  <si>
    <t>950 00-0002VD</t>
  </si>
  <si>
    <t>950  00 -0001VD</t>
  </si>
  <si>
    <t>416111122RS0</t>
  </si>
  <si>
    <t>612475221RT3</t>
  </si>
  <si>
    <t>612473182R00</t>
  </si>
  <si>
    <t>612409991R00</t>
  </si>
  <si>
    <t>612425931R00</t>
  </si>
  <si>
    <t>611421231R00</t>
  </si>
  <si>
    <t>642942111RT6</t>
  </si>
  <si>
    <t>642942111RT5</t>
  </si>
  <si>
    <t>731</t>
  </si>
  <si>
    <t>731 00-0001VD</t>
  </si>
  <si>
    <t>998731202R00</t>
  </si>
  <si>
    <t>734</t>
  </si>
  <si>
    <t>734226221RT2</t>
  </si>
  <si>
    <t>734261222R00</t>
  </si>
  <si>
    <t>734211113R00</t>
  </si>
  <si>
    <t>998734203R00</t>
  </si>
  <si>
    <t>735</t>
  </si>
  <si>
    <t>735157671R00</t>
  </si>
  <si>
    <t>735158220R00</t>
  </si>
  <si>
    <t>735159230R00</t>
  </si>
  <si>
    <t>735890801R00</t>
  </si>
  <si>
    <t>735151822R00</t>
  </si>
  <si>
    <t>998735202R00</t>
  </si>
  <si>
    <t>766</t>
  </si>
  <si>
    <t>766411811R00</t>
  </si>
  <si>
    <t>766421811R00</t>
  </si>
  <si>
    <t>766427112R00</t>
  </si>
  <si>
    <t>766661122R00</t>
  </si>
  <si>
    <t>611617036</t>
  </si>
  <si>
    <t>611617014</t>
  </si>
  <si>
    <t>766416113R00</t>
  </si>
  <si>
    <t>766417111R00</t>
  </si>
  <si>
    <t>766422231R00</t>
  </si>
  <si>
    <t>607150002</t>
  </si>
  <si>
    <t>998766202R00</t>
  </si>
  <si>
    <t>771</t>
  </si>
  <si>
    <t>771101116R00</t>
  </si>
  <si>
    <t>771101121R00</t>
  </si>
  <si>
    <t>771212117R00</t>
  </si>
  <si>
    <t>59764251VD</t>
  </si>
  <si>
    <t>771130111R00</t>
  </si>
  <si>
    <t>59764252VD</t>
  </si>
  <si>
    <t>998771202R00</t>
  </si>
  <si>
    <t>784</t>
  </si>
  <si>
    <t>784111701R00</t>
  </si>
  <si>
    <t>784191101R00</t>
  </si>
  <si>
    <t>784195212R00</t>
  </si>
  <si>
    <t>784115412R00</t>
  </si>
  <si>
    <t>94</t>
  </si>
  <si>
    <t>941955002R00</t>
  </si>
  <si>
    <t>950 00-0003VD</t>
  </si>
  <si>
    <t>950 00-0004VD</t>
  </si>
  <si>
    <t>950 00-0005VD</t>
  </si>
  <si>
    <t>950 00-0006VD</t>
  </si>
  <si>
    <t>950 00-0007VD</t>
  </si>
  <si>
    <t>950 00-0008VD</t>
  </si>
  <si>
    <t>950 00-0009VD</t>
  </si>
  <si>
    <t>950 00-0010VD</t>
  </si>
  <si>
    <t>950 00-0011VD</t>
  </si>
  <si>
    <t>950 00-0012VD</t>
  </si>
  <si>
    <t>950 00-0013VD</t>
  </si>
  <si>
    <t>96</t>
  </si>
  <si>
    <t>965081713RT1</t>
  </si>
  <si>
    <t>968072455R00</t>
  </si>
  <si>
    <t>968072456R00</t>
  </si>
  <si>
    <t>968061125R00</t>
  </si>
  <si>
    <t>97</t>
  </si>
  <si>
    <t>978011121R00</t>
  </si>
  <si>
    <t>978013191R00</t>
  </si>
  <si>
    <t>H99</t>
  </si>
  <si>
    <t>999281108R00</t>
  </si>
  <si>
    <t>S</t>
  </si>
  <si>
    <t>979082111R00</t>
  </si>
  <si>
    <t>979082121R00</t>
  </si>
  <si>
    <t>979084216R00</t>
  </si>
  <si>
    <t>979084219R00</t>
  </si>
  <si>
    <t>979990001R00</t>
  </si>
  <si>
    <t>M21</t>
  </si>
  <si>
    <t>210 00-0002VD</t>
  </si>
  <si>
    <t>210 00-0001VD</t>
  </si>
  <si>
    <t>Věznice Ostrov-oprava jídelny zaměstnanců</t>
  </si>
  <si>
    <t>oprava</t>
  </si>
  <si>
    <t>Vykmanov u Ostrova nad Ohří</t>
  </si>
  <si>
    <t>Zkrácený popis</t>
  </si>
  <si>
    <t>Rozměry</t>
  </si>
  <si>
    <t>Nezařazeno</t>
  </si>
  <si>
    <t>Různé dokončovací konstrukce a práce na pozemních stavbách</t>
  </si>
  <si>
    <t>Jídelní stůl obdélníkový vel.1600/800 dekor buk  deska tl.25</t>
  </si>
  <si>
    <t>Římská roleta vel.1200/1800</t>
  </si>
  <si>
    <t>Jídelní stůl obdélníkový vel.1600/800</t>
  </si>
  <si>
    <t>stavební úpravy</t>
  </si>
  <si>
    <t>Stropy a stropní konstrukce (pro pozemní stavby)</t>
  </si>
  <si>
    <t>Podhledy SDK, kovová.kce CD. 2 x deska tl.12,5 mm</t>
  </si>
  <si>
    <t>Úprava povrchů vnitřní</t>
  </si>
  <si>
    <t>Omítka vnitřních stěn benátský štuk</t>
  </si>
  <si>
    <t>Omítka vnitřního zdiva ze suché směsi, štuková</t>
  </si>
  <si>
    <t>Začištění omítek kolem oken,dveří apod.</t>
  </si>
  <si>
    <t>Omítka vápenná vnitřního ostění - štuková</t>
  </si>
  <si>
    <t>Oprava váp.omítek stropů do 10% plochy - štukových</t>
  </si>
  <si>
    <t>Výplně otvorů</t>
  </si>
  <si>
    <t>Osazení zárubní dveřních ocelových, pl. do 2,5 m2</t>
  </si>
  <si>
    <t>Kotelny</t>
  </si>
  <si>
    <t>Propojení nových radiátorů</t>
  </si>
  <si>
    <t>Přesun hmot pro kotelny, výšky do 12 m</t>
  </si>
  <si>
    <t>Armatury</t>
  </si>
  <si>
    <t>Ventil term.rohový,vnitř.z. Heimeier V-exakt DN 10</t>
  </si>
  <si>
    <t>Šroubení  Ve 4300 přímé, G 3/8</t>
  </si>
  <si>
    <t>Ventily odvzdušňovací ot.těles V 4320, G 3/8"</t>
  </si>
  <si>
    <t>Přesun hmot pro armatury, výšky do 24 m</t>
  </si>
  <si>
    <t>Otopná tělesa</t>
  </si>
  <si>
    <t>Otopná těl.panel.Radik Ventil Kompakt 22  600/1800</t>
  </si>
  <si>
    <t>Tlakové zkoušky panelových těles 2řadých</t>
  </si>
  <si>
    <t>Montáž panelových těles 2řadých do délky 1980 mm</t>
  </si>
  <si>
    <t>Přemístění demont. hmot - otop. těles, H do 6 m</t>
  </si>
  <si>
    <t>Demontáž otopných těles panelových 2řadých,2820 mm</t>
  </si>
  <si>
    <t>Přesun hmot pro otopná tělesa, výšky do 12 m</t>
  </si>
  <si>
    <t>Konstrukce truhlářské</t>
  </si>
  <si>
    <t>Demontáž obložení stěn</t>
  </si>
  <si>
    <t>Demontáž obložení podhledů</t>
  </si>
  <si>
    <t>Podkladový rošt pro obložení podhledů</t>
  </si>
  <si>
    <t>Montáž dveří do zárubně,otevíravých 1kř.nad 0,8 m</t>
  </si>
  <si>
    <t>Dveře vnitřní dýha KLASIK 2/3 sklo 2kř. 110x197 cm</t>
  </si>
  <si>
    <t>Dveře vnitřní dýha KLASIK plné 1kř. 90x197 cm</t>
  </si>
  <si>
    <t>Obložení stěn  pl. nad 1,5 m2</t>
  </si>
  <si>
    <t>Podkladový rošt pod obložení stěn</t>
  </si>
  <si>
    <t>Obložení podhledů .panely dýhované</t>
  </si>
  <si>
    <t>Deska obkladová dřevěná dekor buk</t>
  </si>
  <si>
    <t>Přesun hmot pro truhlářské konstr., výšky do 12 m</t>
  </si>
  <si>
    <t>Podlahy z dlaždic</t>
  </si>
  <si>
    <t>Vyrovnání podkladů samonivel. hmotou tl. do 30 mm</t>
  </si>
  <si>
    <t>Provedení penetrace podkladu</t>
  </si>
  <si>
    <t>Kladení dlažby keramické do TM, vel. do 600x600 mm</t>
  </si>
  <si>
    <t>Keramická dlažba Damasco vanila 59,8*59,8</t>
  </si>
  <si>
    <t>Obklad soklíků rovných do tmele výšky do 100 mm</t>
  </si>
  <si>
    <t>Keramický sokl</t>
  </si>
  <si>
    <t>Přesun hmot pro podlahy z dlaždic, výšky do 12 m</t>
  </si>
  <si>
    <t>Malby</t>
  </si>
  <si>
    <t>Penetrace podkladu nátěrem Remal sádrokarton 1x</t>
  </si>
  <si>
    <t>Penetrace podkladu univerzální Primalex 1x</t>
  </si>
  <si>
    <t>Malba tekutá Primalex Plus, bílá, 2 x</t>
  </si>
  <si>
    <t>Malba tekutá Remal profi, bílá, bez penetrace, 2 x</t>
  </si>
  <si>
    <t>Lešení a stavební výtahy</t>
  </si>
  <si>
    <t>Lešení lehké pomocné, výška podlahy do 1,9 m</t>
  </si>
  <si>
    <t>Jídelní stůl obdélníkový vel.1400/800</t>
  </si>
  <si>
    <t>Podnož MANILA 40IX</t>
  </si>
  <si>
    <t>Jídelní židle BARTON</t>
  </si>
  <si>
    <t>Chladící virina COLD 840</t>
  </si>
  <si>
    <t>Stojan na deštníky YAMAZAKI NEST</t>
  </si>
  <si>
    <t>Nimco dvojháček Borno BR 11053-26</t>
  </si>
  <si>
    <t>Televizní příjmač vč.otočné konzoly</t>
  </si>
  <si>
    <t>Repredukce -obrazy</t>
  </si>
  <si>
    <t>Police vel.2000/300</t>
  </si>
  <si>
    <t>Stůl na nápoje vel.1200/588/850</t>
  </si>
  <si>
    <t>Abzac vel.3000/588/1250</t>
  </si>
  <si>
    <t>Bourání konstrukcí</t>
  </si>
  <si>
    <t>Bourání dlaždic keramických tl. 1 cm, nad 1 m2</t>
  </si>
  <si>
    <t>Vybourání kovových dveřních zárubní pl. do 2 m2</t>
  </si>
  <si>
    <t>Vybourání kovových dveřních zárubní pl. nad 2 m2</t>
  </si>
  <si>
    <t>Vyvěšení dřevěných dveřních křídel pl. do 2 m2</t>
  </si>
  <si>
    <t>Prorážení otvorů a ostatní bourací práce</t>
  </si>
  <si>
    <t>Otlučení omítek vnitřních vápenných stropů do 10 %</t>
  </si>
  <si>
    <t>Otlučení omítek vnitřních stěn v rozsahu do 100 %</t>
  </si>
  <si>
    <t>Ostatní přesuny hmot</t>
  </si>
  <si>
    <t>Přesun hmot pro opravy a údržbu do výšky 12 m</t>
  </si>
  <si>
    <t>Přesuny sutí</t>
  </si>
  <si>
    <t>Vnitrostaveništní doprava suti a vybouraných hmot do 10 m</t>
  </si>
  <si>
    <t>Příplatek k vnitrost. dopravě  za dalších 5 m</t>
  </si>
  <si>
    <t>Vodorovná doprava vybour. hmot po suchu do 5 km</t>
  </si>
  <si>
    <t>Příplatek k dopravě vybour.hmot za dalších 5 km</t>
  </si>
  <si>
    <t>Poplatek za skládku stavební suti</t>
  </si>
  <si>
    <t>Elektroinstalace</t>
  </si>
  <si>
    <t>Elektromontáže</t>
  </si>
  <si>
    <t>Montáže,ostatní náklady,revize viz samostatný rozpočet</t>
  </si>
  <si>
    <t>Ostatní materiál</t>
  </si>
  <si>
    <t>Dodávky elektroinstalace- vlastní rozpočet</t>
  </si>
  <si>
    <t>Doba výstavby:</t>
  </si>
  <si>
    <t>Začátek výstavby:</t>
  </si>
  <si>
    <t>Konec výstavby:</t>
  </si>
  <si>
    <t>Zpracováno dne:</t>
  </si>
  <si>
    <t>M.j.</t>
  </si>
  <si>
    <t>KS</t>
  </si>
  <si>
    <t>m2</t>
  </si>
  <si>
    <t>m</t>
  </si>
  <si>
    <t>kus</t>
  </si>
  <si>
    <t>%</t>
  </si>
  <si>
    <t>t</t>
  </si>
  <si>
    <t>M2</t>
  </si>
  <si>
    <t>M</t>
  </si>
  <si>
    <t>ks</t>
  </si>
  <si>
    <t>SOUB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</si>
  <si>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</si>
  <si>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</si>
  <si>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</si>
  <si>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</si>
  <si>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</si>
  <si>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</si>
  <si>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</si>
  <si>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</si>
  <si>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</si>
  <si>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</si>
  <si>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</si>
  <si>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</si>
  <si>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</si>
  <si>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</si>
  <si>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</si>
  <si>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0</t>
  </si>
  <si>
    <t>Přesuny</t>
  </si>
  <si>
    <t>Typ skupiny</t>
  </si>
  <si>
    <t>HS</t>
  </si>
  <si>
    <t>PS</t>
  </si>
  <si>
    <t>MP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</si>
  <si>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</si>
  <si>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</si>
  <si>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</si>
  <si>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</si>
  <si>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</si>
  <si>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</si>
  <si>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</si>
  <si>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</si>
  <si>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95_</t>
  </si>
  <si>
    <t>41_</t>
  </si>
  <si>
    <t>61_</t>
  </si>
  <si>
    <t>64_</t>
  </si>
  <si>
    <t>731_</t>
  </si>
  <si>
    <t>734_</t>
  </si>
  <si>
    <t>735_</t>
  </si>
  <si>
    <t>766_</t>
  </si>
  <si>
    <t>771_</t>
  </si>
  <si>
    <t>784_</t>
  </si>
  <si>
    <t>94_</t>
  </si>
  <si>
    <t>96_</t>
  </si>
  <si>
    <t>97_</t>
  </si>
  <si>
    <t>H99_</t>
  </si>
  <si>
    <t>S_</t>
  </si>
  <si>
    <t>M21_</t>
  </si>
  <si>
    <t>Z99999_</t>
  </si>
  <si>
    <t>9_</t>
  </si>
  <si>
    <t>4_</t>
  </si>
  <si>
    <t>6_</t>
  </si>
  <si>
    <t>73_</t>
  </si>
  <si>
    <t>76_</t>
  </si>
  <si>
    <t>77_</t>
  </si>
  <si>
    <t>78_</t>
  </si>
  <si>
    <t>Z_</t>
  </si>
  <si>
    <t>SO-01_</t>
  </si>
  <si>
    <t>SO-O1_</t>
  </si>
  <si>
    <t>SO-O2_</t>
  </si>
  <si>
    <t>_</t>
  </si>
  <si>
    <t>Výkaz výměr</t>
  </si>
  <si>
    <t>103,60+14,10</t>
  </si>
  <si>
    <t>(7,20+5,23+1,80+3,10)*2,70-(0,90*2,00)</t>
  </si>
  <si>
    <t>(5,33*3-1,10*2,00)</t>
  </si>
  <si>
    <t>(7,20+10,88+3,53+7,20)*3,00-(1,20*1,80*5)</t>
  </si>
  <si>
    <t>(1,70+7,20+1,70+5,23+1,80+3,90+0,60)*2,70</t>
  </si>
  <si>
    <t>(3,10+1,80)*2,70-(0,90*2,00+1,10*2,00+1,20*1,80)</t>
  </si>
  <si>
    <t>(5,33+4,65+3,00+4,00+1,65)*3,00</t>
  </si>
  <si>
    <t>-(0,80*3,00*5+3,90*2,10+1,10*2,00+0,80*2,00*2)</t>
  </si>
  <si>
    <t>-(20,01+58,78)</t>
  </si>
  <si>
    <t>(1,20+2*1,80*6+0,90+2*2+1,10+2*2)</t>
  </si>
  <si>
    <t>(1,20+2*1,80)*6*0,15</t>
  </si>
  <si>
    <t>14,10</t>
  </si>
  <si>
    <t>30,00</t>
  </si>
  <si>
    <t>24,25</t>
  </si>
  <si>
    <t>0,0468</t>
  </si>
  <si>
    <t>228,73</t>
  </si>
  <si>
    <t>(10,88+1,70+7,20+7,15+0,30)*1,60-(0,90*2)</t>
  </si>
  <si>
    <t>(5,23+1,80)*2,10+(0,90*3,90)</t>
  </si>
  <si>
    <t>103,60</t>
  </si>
  <si>
    <t>3*7,20+3*7,15</t>
  </si>
  <si>
    <t>(0,80*3,00*5)+(1,50*3,00)+(3,90*0,90)</t>
  </si>
  <si>
    <t>2*1+2*5*3</t>
  </si>
  <si>
    <t>(7,20*0,30+7,20*1,70)+(7,15*0,30+7,15*1,80)</t>
  </si>
  <si>
    <t>(20,01+29,42)*1,15</t>
  </si>
  <si>
    <t>613,94</t>
  </si>
  <si>
    <t>(103,60+14,10)*1,05</t>
  </si>
  <si>
    <t>(9,00+12,58+7,20+3,90+0,60+3,10+1,80)</t>
  </si>
  <si>
    <t>(5,23+7,20)-(1,10+0,90)</t>
  </si>
  <si>
    <t>48,61*1,1</t>
  </si>
  <si>
    <t>1763,97</t>
  </si>
  <si>
    <t>93,96+4,32</t>
  </si>
  <si>
    <t>98,28</t>
  </si>
  <si>
    <t>13*2</t>
  </si>
  <si>
    <t>117,10</t>
  </si>
  <si>
    <t>0,90*2,00</t>
  </si>
  <si>
    <t>1,10*2,00</t>
  </si>
  <si>
    <t>(7,20+1,80+10,88+1,70+7,20+5,23+1,80+7,15)*3,00</t>
  </si>
  <si>
    <t>(5,33+1,65+4+3+4,65+0,60)*3,00</t>
  </si>
  <si>
    <t>-(1,20*1,80*6+3,90*2,10+0,90*2,00+1,1*2,00)</t>
  </si>
  <si>
    <t>-60,04</t>
  </si>
  <si>
    <t>8,48</t>
  </si>
  <si>
    <t>7,34</t>
  </si>
  <si>
    <t>7,34*3</t>
  </si>
  <si>
    <t>7,34*2</t>
  </si>
  <si>
    <t>Cenová soustava</t>
  </si>
  <si>
    <t>RTS II / 2017</t>
  </si>
  <si>
    <t>Vězeňská služba ČR, Soudní 1672/1a, 140 00 Praha 4-Nusle</t>
  </si>
  <si>
    <t>Ing.arch.Kateřina Kybalová, Nejedlova 942/13, Karlovy Vary</t>
  </si>
  <si>
    <t>Chládková Eva, Košická 1754, Sokolov</t>
  </si>
  <si>
    <t>Demontáž otopných těles litinových,2820 mm</t>
  </si>
  <si>
    <t>zařízení staveniště</t>
  </si>
  <si>
    <t>kpl</t>
  </si>
  <si>
    <t>soubor</t>
  </si>
  <si>
    <t>76</t>
  </si>
  <si>
    <t>Ostrov - oprava jídelny zaměstnanců</t>
  </si>
  <si>
    <t>Keramická dlažba 59,8*59,8 (např. Damasco vanila)</t>
  </si>
  <si>
    <t>Ventil term.rohový,vnitř. z.(např.  Heimeier V-exakt DN 10)</t>
  </si>
  <si>
    <t>Penetrace podkladu nátěrem např. Remal sádrokarton 1x</t>
  </si>
  <si>
    <t>Malba tekutá např. Primalex Plus, bílá, 2 x</t>
  </si>
  <si>
    <t>Penetrace podkladu univerzální např. Primalex 1x</t>
  </si>
  <si>
    <t>Malba tekutá např. Remal profi, bílá, bez penetrace, 2 x</t>
  </si>
  <si>
    <t>dvojháček např. Nimco dvojháček Borno BR 11053-26</t>
  </si>
  <si>
    <r>
      <t xml:space="preserve">Montáže, dodávky elektroinstalace, ostatní náklady, revize - </t>
    </r>
    <r>
      <rPr>
        <b/>
        <i/>
        <sz val="9"/>
        <color indexed="61"/>
        <rFont val="Arial"/>
        <family val="2"/>
      </rPr>
      <t>viz samostatný rozpočet</t>
    </r>
  </si>
  <si>
    <r>
      <t xml:space="preserve">Dodávky elektroinstalace - </t>
    </r>
    <r>
      <rPr>
        <b/>
        <i/>
        <strike/>
        <sz val="9"/>
        <color indexed="62"/>
        <rFont val="Arial"/>
        <family val="2"/>
      </rPr>
      <t>viz samostatný rozpočet</t>
    </r>
  </si>
  <si>
    <t/>
  </si>
  <si>
    <t>název akce: OSTROV - OPRAVA JÍDELNY ZAMĚSTNANCŮ</t>
  </si>
  <si>
    <t>rozpočet: ELEKTROINSTALACE/ELEKTROMONTÁŽE</t>
  </si>
  <si>
    <t>Soupis položek</t>
  </si>
  <si>
    <t>p.č.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</si>
  <si>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</si>
  <si>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</si>
  <si>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</si>
  <si>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</si>
  <si>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</si>
  <si>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</si>
  <si>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</si>
  <si>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</si>
  <si>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</si>
  <si>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</si>
  <si>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</si>
  <si>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kap.</t>
  </si>
  <si>
    <t>Dodávky zařízení</t>
  </si>
  <si>
    <t xml:space="preserve">svítidlo LED vestavné stropní - prům.19cm, 350mA, IP43, 10W/1000lm (např. Downlight MODUS SPMI  3000K LED)        </t>
  </si>
  <si>
    <t>*</t>
  </si>
  <si>
    <t>DE</t>
  </si>
  <si>
    <t>svítidlo LED vestavné stropní - čtverc. 224x224mm, IP40, 20W/2000lm (např. MODUS 4000K DS2000KO4/200/ND)</t>
  </si>
  <si>
    <t>svítidlo žárovkové bytové závěsné textil.- prům.530, do 60W/E27,IP20 (např. EGLO PASTERI)</t>
  </si>
  <si>
    <t>Z</t>
  </si>
  <si>
    <t>součet</t>
  </si>
  <si>
    <t>Materiál elektromontážní</t>
  </si>
  <si>
    <t>žárovka E27 LED 9W/3000K</t>
  </si>
  <si>
    <t>ME</t>
  </si>
  <si>
    <t>SESTAVA  přepín střídavý Time 10A/250Vstř ř.6</t>
  </si>
  <si>
    <t>přepínač/strojek 10A/250Vstř 3558-A06340 řaz.6,6So</t>
  </si>
  <si>
    <t>kryt spínače 1-duchý 3558E-A00651 pro ř.1,6,7,1/0</t>
  </si>
  <si>
    <t>SESTAVA  zásuvka 16A/250Vstř Time bezŠr clonky</t>
  </si>
  <si>
    <t>strojek zásuv 16A/250Vstř 5519E-A02357 bezŠr clonk</t>
  </si>
  <si>
    <t>rámeček pro 1 přístroj Time 3901F-A00110</t>
  </si>
  <si>
    <t>rámeček pro 2 přístr Time 3901F-A00120 vodorovný</t>
  </si>
  <si>
    <t>rámeček pro 3 přístr Time 3901F-A00130 vodorovný</t>
  </si>
  <si>
    <t>INSTAL.KRABICE DO BETONU/PODL. (např.  Legrand)</t>
  </si>
  <si>
    <t>PLATINUM IP44 2M NEREZ KRUHOVÁ  Legrand</t>
  </si>
  <si>
    <t>ZÁS. 230V 2P+T 2M BÍLÁ (např. MOSAIC Legrand)</t>
  </si>
  <si>
    <t>proudový chránič 4pol PF7-25/4/003</t>
  </si>
  <si>
    <t>jistič PL7 1pól/ch.B/10kA 10A</t>
  </si>
  <si>
    <t>jistič PL7 1pól/ch.B/10kA 16A</t>
  </si>
  <si>
    <t>trubka ohebná PVC monoflex 1416E</t>
  </si>
  <si>
    <t>krabice přístrojová KP67/3</t>
  </si>
  <si>
    <t>krabice přístrojová KPR68 (hlubší)</t>
  </si>
  <si>
    <t>svorka typ 015  5x2,5mm2 krabicová bezšroubová</t>
  </si>
  <si>
    <t>10.076.28</t>
  </si>
  <si>
    <t>Příchytka OBO 2031M/15</t>
  </si>
  <si>
    <t>kabel CYKY-J 3x2,5</t>
  </si>
  <si>
    <t>kabel CYKY-J 3x1,5</t>
  </si>
  <si>
    <t>kabel CYKY-O 3x1,5</t>
  </si>
  <si>
    <t>VYKRUŽOVACÍ PILA PRO PLATINUM  Legrand</t>
  </si>
  <si>
    <t>svítidlo LED vestavné stropní</t>
  </si>
  <si>
    <t>CE</t>
  </si>
  <si>
    <t>svítidlo žárovkové bytové závěsné</t>
  </si>
  <si>
    <t>přepínač zapuštěný vč.zapojení střídavý/řazení 6</t>
  </si>
  <si>
    <t>zásuvka domovní zapuštěná vč.zapojení průběžně</t>
  </si>
  <si>
    <t>krabice podlahová</t>
  </si>
  <si>
    <t>zásuvka domovní vestavná/bez otvoru/vč.zapoj. 2P+Z</t>
  </si>
  <si>
    <t>proudový chránič vč.zapojení 4pól/25A</t>
  </si>
  <si>
    <t>jistič vč.zapojení 1pól/25A</t>
  </si>
  <si>
    <t>trubka plast ohebná,pod omítkou,typ 2316/pr.16</t>
  </si>
  <si>
    <t>krabice přístrojová bez zapojení</t>
  </si>
  <si>
    <t>kabel Cu (-CYKY) pod omítkou do 2x4/3x2,5/5x1,5</t>
  </si>
  <si>
    <t>kabel (-CYKY) pevně uložený do 3x6/4x4/7x2,5</t>
  </si>
  <si>
    <t>Ostatní náklady</t>
  </si>
  <si>
    <t>poplatek za recyklaci svítidla</t>
  </si>
  <si>
    <t>ON</t>
  </si>
  <si>
    <t>vysekání rýhy/zeď beton/ hl.do 30mm/š.do 30mm</t>
  </si>
  <si>
    <t>vysekání rýhy/zeď cihla/ hl.do 30mm/š.do 70mm</t>
  </si>
  <si>
    <t>vybour.otvoru ve zdi/cihla/ do pr.60mm/tl.do 0,15m</t>
  </si>
  <si>
    <t>otvor pro podlahovou krabici prům.80mm,hl.50mm</t>
  </si>
  <si>
    <t>Jiné související náklady</t>
  </si>
  <si>
    <t>doprava a přesun dodávek</t>
  </si>
  <si>
    <t>doprava, přesun el. materiálu, přidružené výkony pro elektromontáže</t>
  </si>
  <si>
    <t>prořez</t>
  </si>
  <si>
    <t>materiál podružný</t>
  </si>
  <si>
    <t>provozní vlivy</t>
  </si>
  <si>
    <t>revize</t>
  </si>
  <si>
    <t>CENA bez DPH (Kč)</t>
  </si>
  <si>
    <t>kompletační činnost - PD skutečného provedení</t>
  </si>
  <si>
    <t>Přesun hmot , výšky do 12 m</t>
  </si>
  <si>
    <t>Propojení nových radiátorů (4 nové ks a zaslení 1 stávajího ks)</t>
  </si>
  <si>
    <t>Příloha č.  4a</t>
  </si>
  <si>
    <t>Příklady výrobků uvedené výše jsou referenčními výrobky pro specifikaci minimální kvality požadovaného výrobku. Výrobky lze nahradit jinými výrobky odpovídající nebo lepší kvality.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</si>
</sst>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000000000"/>
    <numFmt numFmtId="167" formatCode="#\ ###\ ###"/>
    <numFmt numFmtId="168" formatCode="0.000;0.000;"/>
    <numFmt numFmtId="169" formatCode="0.00;0.00;"/>
  </numFmts>
  <fonts count="58">
    <font>
      <sz val="10"/>
      <name val="Arial"/>
      <family val="0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i/>
      <sz val="9"/>
      <color indexed="54"/>
      <name val="Arial"/>
      <family val="2"/>
    </font>
    <font>
      <b/>
      <i/>
      <sz val="9"/>
      <color indexed="54"/>
      <name val="Arial"/>
      <family val="2"/>
    </font>
    <font>
      <i/>
      <sz val="9"/>
      <color indexed="56"/>
      <name val="Arial"/>
      <family val="2"/>
    </font>
    <font>
      <i/>
      <sz val="9"/>
      <color indexed="61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i/>
      <strike/>
      <sz val="9"/>
      <color indexed="61"/>
      <name val="Arial"/>
      <family val="2"/>
    </font>
    <font>
      <b/>
      <i/>
      <sz val="9"/>
      <color indexed="61"/>
      <name val="Arial"/>
      <family val="2"/>
    </font>
    <font>
      <i/>
      <strike/>
      <sz val="9"/>
      <color indexed="62"/>
      <name val="Arial"/>
      <family val="2"/>
    </font>
    <font>
      <b/>
      <i/>
      <strike/>
      <sz val="9"/>
      <color indexed="62"/>
      <name val="Arial"/>
      <family val="2"/>
    </font>
    <font>
      <b/>
      <sz val="10"/>
      <color indexed="8"/>
      <name val="Times New Roman CE"/>
      <family val="0"/>
    </font>
    <font>
      <b/>
      <i/>
      <sz val="11"/>
      <color indexed="8"/>
      <name val="Times New Roman CE"/>
      <family val="0"/>
    </font>
    <font>
      <sz val="11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1"/>
      <color indexed="8"/>
      <name val="Times New Roman CE"/>
      <family val="0"/>
    </font>
    <font>
      <strike/>
      <sz val="11"/>
      <color indexed="8"/>
      <name val="Times New Roman CE"/>
      <family val="0"/>
    </font>
    <font>
      <sz val="10"/>
      <color indexed="8"/>
      <name val="Times New Roman CE"/>
      <family val="0"/>
    </font>
    <font>
      <i/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i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4" fillId="20" borderId="0" applyNumberFormat="0" applyBorder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1" fillId="0" borderId="0">
      <alignment/>
      <protection/>
    </xf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7"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right" vertical="center"/>
      <protection/>
    </xf>
    <xf numFmtId="49" fontId="5" fillId="34" borderId="22" xfId="0" applyNumberFormat="1" applyFont="1" applyFill="1" applyBorder="1" applyAlignment="1" applyProtection="1">
      <alignment horizontal="left" vertical="center"/>
      <protection/>
    </xf>
    <xf numFmtId="49" fontId="6" fillId="34" borderId="22" xfId="0" applyNumberFormat="1" applyFont="1" applyFill="1" applyBorder="1" applyAlignment="1" applyProtection="1">
      <alignment horizontal="left" vertical="center"/>
      <protection/>
    </xf>
    <xf numFmtId="4" fontId="6" fillId="34" borderId="22" xfId="0" applyNumberFormat="1" applyFont="1" applyFill="1" applyBorder="1" applyAlignment="1" applyProtection="1">
      <alignment horizontal="right" vertical="center"/>
      <protection/>
    </xf>
    <xf numFmtId="49" fontId="6" fillId="34" borderId="2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34" borderId="0" xfId="0" applyNumberFormat="1" applyFont="1" applyFill="1" applyBorder="1" applyAlignment="1" applyProtection="1">
      <alignment horizontal="left" vertical="center"/>
      <protection/>
    </xf>
    <xf numFmtId="4" fontId="6" fillId="34" borderId="0" xfId="0" applyNumberFormat="1" applyFont="1" applyFill="1" applyBorder="1" applyAlignment="1" applyProtection="1">
      <alignment horizontal="right" vertical="center"/>
      <protection/>
    </xf>
    <xf numFmtId="49" fontId="6" fillId="34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8" fillId="0" borderId="22" xfId="0" applyNumberFormat="1" applyFont="1" applyFill="1" applyBorder="1" applyAlignment="1" applyProtection="1">
      <alignment horizontal="left" vertical="center"/>
      <protection/>
    </xf>
    <xf numFmtId="4" fontId="8" fillId="0" borderId="22" xfId="0" applyNumberFormat="1" applyFont="1" applyFill="1" applyBorder="1" applyAlignment="1" applyProtection="1">
      <alignment horizontal="right" vertical="center"/>
      <protection/>
    </xf>
    <xf numFmtId="49" fontId="8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9" fontId="8" fillId="35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46" applyFont="1">
      <alignment/>
      <protection/>
    </xf>
    <xf numFmtId="0" fontId="15" fillId="0" borderId="0" xfId="46" applyFont="1" quotePrefix="1">
      <alignment/>
      <protection/>
    </xf>
    <xf numFmtId="0" fontId="16" fillId="0" borderId="0" xfId="46" applyFont="1">
      <alignment/>
      <protection/>
    </xf>
    <xf numFmtId="0" fontId="15" fillId="0" borderId="0" xfId="46" applyFont="1" applyAlignment="1">
      <alignment horizontal="center"/>
      <protection/>
    </xf>
    <xf numFmtId="0" fontId="17" fillId="0" borderId="0" xfId="46" applyFont="1">
      <alignment/>
      <protection/>
    </xf>
    <xf numFmtId="0" fontId="18" fillId="36" borderId="0" xfId="46" applyFont="1" applyFill="1" applyAlignment="1">
      <alignment vertical="center"/>
      <protection/>
    </xf>
    <xf numFmtId="0" fontId="18" fillId="36" borderId="0" xfId="46" applyFont="1" applyFill="1" applyAlignment="1">
      <alignment horizontal="center" vertical="center"/>
      <protection/>
    </xf>
    <xf numFmtId="0" fontId="18" fillId="0" borderId="0" xfId="46" applyFont="1" applyAlignment="1">
      <alignment vertical="center"/>
      <protection/>
    </xf>
    <xf numFmtId="0" fontId="17" fillId="0" borderId="27" xfId="46" applyFont="1" applyBorder="1">
      <alignment/>
      <protection/>
    </xf>
    <xf numFmtId="166" fontId="17" fillId="0" borderId="28" xfId="46" applyNumberFormat="1" applyFont="1" applyBorder="1">
      <alignment/>
      <protection/>
    </xf>
    <xf numFmtId="0" fontId="17" fillId="0" borderId="28" xfId="46" applyFont="1" applyBorder="1">
      <alignment/>
      <protection/>
    </xf>
    <xf numFmtId="2" fontId="17" fillId="0" borderId="28" xfId="46" applyNumberFormat="1" applyFont="1" applyBorder="1">
      <alignment/>
      <protection/>
    </xf>
    <xf numFmtId="169" fontId="17" fillId="0" borderId="29" xfId="46" applyNumberFormat="1" applyFont="1" applyBorder="1">
      <alignment/>
      <protection/>
    </xf>
    <xf numFmtId="0" fontId="17" fillId="0" borderId="28" xfId="46" applyFont="1" applyBorder="1" applyAlignment="1">
      <alignment horizontal="center"/>
      <protection/>
    </xf>
    <xf numFmtId="0" fontId="19" fillId="0" borderId="14" xfId="46" applyFont="1" applyBorder="1">
      <alignment/>
      <protection/>
    </xf>
    <xf numFmtId="166" fontId="19" fillId="0" borderId="0" xfId="46" applyNumberFormat="1" applyFont="1" applyBorder="1">
      <alignment/>
      <protection/>
    </xf>
    <xf numFmtId="0" fontId="19" fillId="0" borderId="0" xfId="46" applyFont="1" applyBorder="1">
      <alignment/>
      <protection/>
    </xf>
    <xf numFmtId="2" fontId="19" fillId="0" borderId="0" xfId="46" applyNumberFormat="1" applyFont="1" applyBorder="1">
      <alignment/>
      <protection/>
    </xf>
    <xf numFmtId="168" fontId="19" fillId="0" borderId="0" xfId="46" applyNumberFormat="1" applyFont="1" applyBorder="1">
      <alignment/>
      <protection/>
    </xf>
    <xf numFmtId="169" fontId="19" fillId="0" borderId="30" xfId="46" applyNumberFormat="1" applyFont="1" applyBorder="1">
      <alignment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>
      <alignment/>
      <protection/>
    </xf>
    <xf numFmtId="0" fontId="17" fillId="0" borderId="31" xfId="46" applyFont="1" applyBorder="1">
      <alignment/>
      <protection/>
    </xf>
    <xf numFmtId="166" fontId="17" fillId="0" borderId="32" xfId="46" applyNumberFormat="1" applyFont="1" applyBorder="1">
      <alignment/>
      <protection/>
    </xf>
    <xf numFmtId="49" fontId="17" fillId="0" borderId="32" xfId="46" applyNumberFormat="1" applyFont="1" applyFill="1" applyBorder="1" applyAlignment="1">
      <alignment wrapText="1"/>
      <protection/>
    </xf>
    <xf numFmtId="49" fontId="17" fillId="0" borderId="32" xfId="46" applyNumberFormat="1" applyFont="1" applyBorder="1">
      <alignment/>
      <protection/>
    </xf>
    <xf numFmtId="2" fontId="17" fillId="0" borderId="32" xfId="46" applyNumberFormat="1" applyFont="1" applyBorder="1">
      <alignment/>
      <protection/>
    </xf>
    <xf numFmtId="169" fontId="17" fillId="0" borderId="33" xfId="46" applyNumberFormat="1" applyFont="1" applyBorder="1">
      <alignment/>
      <protection/>
    </xf>
    <xf numFmtId="49" fontId="17" fillId="0" borderId="32" xfId="46" applyNumberFormat="1" applyFont="1" applyBorder="1" applyAlignment="1">
      <alignment horizontal="center"/>
      <protection/>
    </xf>
    <xf numFmtId="49" fontId="17" fillId="0" borderId="0" xfId="46" applyNumberFormat="1" applyFont="1">
      <alignment/>
      <protection/>
    </xf>
    <xf numFmtId="0" fontId="17" fillId="0" borderId="34" xfId="46" applyFont="1" applyBorder="1">
      <alignment/>
      <protection/>
    </xf>
    <xf numFmtId="166" fontId="17" fillId="0" borderId="35" xfId="46" applyNumberFormat="1" applyFont="1" applyBorder="1">
      <alignment/>
      <protection/>
    </xf>
    <xf numFmtId="49" fontId="17" fillId="0" borderId="35" xfId="46" applyNumberFormat="1" applyFont="1" applyFill="1" applyBorder="1" applyAlignment="1">
      <alignment wrapText="1"/>
      <protection/>
    </xf>
    <xf numFmtId="49" fontId="17" fillId="0" borderId="35" xfId="46" applyNumberFormat="1" applyFont="1" applyBorder="1">
      <alignment/>
      <protection/>
    </xf>
    <xf numFmtId="2" fontId="17" fillId="0" borderId="35" xfId="46" applyNumberFormat="1" applyFont="1" applyBorder="1">
      <alignment/>
      <protection/>
    </xf>
    <xf numFmtId="169" fontId="17" fillId="0" borderId="36" xfId="46" applyNumberFormat="1" applyFont="1" applyBorder="1">
      <alignment/>
      <protection/>
    </xf>
    <xf numFmtId="0" fontId="20" fillId="36" borderId="37" xfId="46" applyFont="1" applyFill="1" applyBorder="1">
      <alignment/>
      <protection/>
    </xf>
    <xf numFmtId="166" fontId="20" fillId="36" borderId="22" xfId="46" applyNumberFormat="1" applyFont="1" applyFill="1" applyBorder="1">
      <alignment/>
      <protection/>
    </xf>
    <xf numFmtId="49" fontId="20" fillId="36" borderId="22" xfId="46" applyNumberFormat="1" applyFont="1" applyFill="1" applyBorder="1">
      <alignment/>
      <protection/>
    </xf>
    <xf numFmtId="0" fontId="20" fillId="36" borderId="22" xfId="46" applyFont="1" applyFill="1" applyBorder="1">
      <alignment/>
      <protection/>
    </xf>
    <xf numFmtId="2" fontId="20" fillId="36" borderId="22" xfId="46" applyNumberFormat="1" applyFont="1" applyFill="1" applyBorder="1">
      <alignment/>
      <protection/>
    </xf>
    <xf numFmtId="168" fontId="20" fillId="36" borderId="22" xfId="46" applyNumberFormat="1" applyFont="1" applyFill="1" applyBorder="1">
      <alignment/>
      <protection/>
    </xf>
    <xf numFmtId="169" fontId="20" fillId="36" borderId="38" xfId="46" applyNumberFormat="1" applyFont="1" applyFill="1" applyBorder="1">
      <alignment/>
      <protection/>
    </xf>
    <xf numFmtId="0" fontId="20" fillId="36" borderId="0" xfId="46" applyFont="1" applyFill="1" applyBorder="1" applyAlignment="1">
      <alignment horizontal="center"/>
      <protection/>
    </xf>
    <xf numFmtId="0" fontId="20" fillId="0" borderId="0" xfId="46" applyFont="1">
      <alignment/>
      <protection/>
    </xf>
    <xf numFmtId="49" fontId="20" fillId="0" borderId="0" xfId="46" applyNumberFormat="1" applyFont="1">
      <alignment/>
      <protection/>
    </xf>
    <xf numFmtId="0" fontId="19" fillId="0" borderId="39" xfId="46" applyFont="1" applyBorder="1">
      <alignment/>
      <protection/>
    </xf>
    <xf numFmtId="166" fontId="19" fillId="0" borderId="40" xfId="46" applyNumberFormat="1" applyFont="1" applyBorder="1">
      <alignment/>
      <protection/>
    </xf>
    <xf numFmtId="49" fontId="19" fillId="0" borderId="40" xfId="46" applyNumberFormat="1" applyFont="1" applyBorder="1">
      <alignment/>
      <protection/>
    </xf>
    <xf numFmtId="0" fontId="19" fillId="0" borderId="40" xfId="46" applyFont="1" applyBorder="1">
      <alignment/>
      <protection/>
    </xf>
    <xf numFmtId="2" fontId="19" fillId="0" borderId="40" xfId="46" applyNumberFormat="1" applyFont="1" applyBorder="1">
      <alignment/>
      <protection/>
    </xf>
    <xf numFmtId="168" fontId="19" fillId="0" borderId="40" xfId="46" applyNumberFormat="1" applyFont="1" applyBorder="1">
      <alignment/>
      <protection/>
    </xf>
    <xf numFmtId="169" fontId="19" fillId="0" borderId="41" xfId="46" applyNumberFormat="1" applyFont="1" applyBorder="1">
      <alignment/>
      <protection/>
    </xf>
    <xf numFmtId="0" fontId="19" fillId="0" borderId="40" xfId="46" applyFont="1" applyBorder="1" applyAlignment="1">
      <alignment horizontal="center"/>
      <protection/>
    </xf>
    <xf numFmtId="49" fontId="19" fillId="0" borderId="0" xfId="46" applyNumberFormat="1" applyFont="1">
      <alignment/>
      <protection/>
    </xf>
    <xf numFmtId="0" fontId="17" fillId="0" borderId="32" xfId="46" applyFont="1" applyFill="1" applyBorder="1">
      <alignment/>
      <protection/>
    </xf>
    <xf numFmtId="0" fontId="17" fillId="0" borderId="32" xfId="46" applyFont="1" applyBorder="1" applyAlignment="1">
      <alignment horizontal="center"/>
      <protection/>
    </xf>
    <xf numFmtId="166" fontId="17" fillId="0" borderId="32" xfId="46" applyNumberFormat="1" applyFont="1" applyBorder="1" applyAlignment="1">
      <alignment horizontal="right"/>
      <protection/>
    </xf>
    <xf numFmtId="0" fontId="21" fillId="0" borderId="42" xfId="46" applyFont="1" applyBorder="1">
      <alignment/>
      <protection/>
    </xf>
    <xf numFmtId="166" fontId="21" fillId="0" borderId="43" xfId="46" applyNumberFormat="1" applyFont="1" applyBorder="1">
      <alignment/>
      <protection/>
    </xf>
    <xf numFmtId="49" fontId="21" fillId="0" borderId="43" xfId="46" applyNumberFormat="1" applyFont="1" applyBorder="1">
      <alignment/>
      <protection/>
    </xf>
    <xf numFmtId="2" fontId="21" fillId="0" borderId="43" xfId="46" applyNumberFormat="1" applyFont="1" applyBorder="1">
      <alignment/>
      <protection/>
    </xf>
    <xf numFmtId="2" fontId="17" fillId="0" borderId="43" xfId="46" applyNumberFormat="1" applyFont="1" applyBorder="1">
      <alignment/>
      <protection/>
    </xf>
    <xf numFmtId="169" fontId="17" fillId="0" borderId="44" xfId="46" applyNumberFormat="1" applyFont="1" applyBorder="1">
      <alignment/>
      <protection/>
    </xf>
    <xf numFmtId="49" fontId="17" fillId="0" borderId="43" xfId="46" applyNumberFormat="1" applyFont="1" applyBorder="1" applyAlignment="1">
      <alignment horizontal="center"/>
      <protection/>
    </xf>
    <xf numFmtId="0" fontId="20" fillId="36" borderId="14" xfId="46" applyFont="1" applyFill="1" applyBorder="1">
      <alignment/>
      <protection/>
    </xf>
    <xf numFmtId="166" fontId="20" fillId="36" borderId="0" xfId="46" applyNumberFormat="1" applyFont="1" applyFill="1" applyBorder="1">
      <alignment/>
      <protection/>
    </xf>
    <xf numFmtId="49" fontId="20" fillId="36" borderId="0" xfId="46" applyNumberFormat="1" applyFont="1" applyFill="1" applyBorder="1">
      <alignment/>
      <protection/>
    </xf>
    <xf numFmtId="2" fontId="20" fillId="36" borderId="0" xfId="46" applyNumberFormat="1" applyFont="1" applyFill="1" applyBorder="1">
      <alignment/>
      <protection/>
    </xf>
    <xf numFmtId="168" fontId="20" fillId="36" borderId="0" xfId="46" applyNumberFormat="1" applyFont="1" applyFill="1" applyBorder="1">
      <alignment/>
      <protection/>
    </xf>
    <xf numFmtId="169" fontId="20" fillId="36" borderId="30" xfId="46" applyNumberFormat="1" applyFont="1" applyFill="1" applyBorder="1">
      <alignment/>
      <protection/>
    </xf>
    <xf numFmtId="49" fontId="20" fillId="36" borderId="0" xfId="46" applyNumberFormat="1" applyFont="1" applyFill="1" applyBorder="1" applyAlignment="1">
      <alignment horizontal="center"/>
      <protection/>
    </xf>
    <xf numFmtId="49" fontId="19" fillId="0" borderId="40" xfId="46" applyNumberFormat="1" applyFont="1" applyBorder="1" applyAlignment="1">
      <alignment horizontal="center"/>
      <protection/>
    </xf>
    <xf numFmtId="0" fontId="17" fillId="0" borderId="42" xfId="46" applyFont="1" applyBorder="1">
      <alignment/>
      <protection/>
    </xf>
    <xf numFmtId="166" fontId="17" fillId="0" borderId="43" xfId="46" applyNumberFormat="1" applyFont="1" applyBorder="1">
      <alignment/>
      <protection/>
    </xf>
    <xf numFmtId="49" fontId="17" fillId="0" borderId="43" xfId="46" applyNumberFormat="1" applyFont="1" applyBorder="1">
      <alignment/>
      <protection/>
    </xf>
    <xf numFmtId="0" fontId="20" fillId="36" borderId="0" xfId="46" applyFont="1" applyFill="1" applyAlignment="1">
      <alignment horizontal="center"/>
      <protection/>
    </xf>
    <xf numFmtId="0" fontId="18" fillId="37" borderId="39" xfId="46" applyFont="1" applyFill="1" applyBorder="1" applyAlignment="1">
      <alignment vertical="center"/>
      <protection/>
    </xf>
    <xf numFmtId="0" fontId="18" fillId="37" borderId="40" xfId="46" applyFont="1" applyFill="1" applyBorder="1" applyAlignment="1">
      <alignment vertical="center"/>
      <protection/>
    </xf>
    <xf numFmtId="0" fontId="18" fillId="37" borderId="41" xfId="46" applyFont="1" applyFill="1" applyBorder="1" applyAlignment="1">
      <alignment vertical="center"/>
      <protection/>
    </xf>
    <xf numFmtId="0" fontId="17" fillId="0" borderId="0" xfId="46" applyFont="1" applyAlignment="1">
      <alignment horizontal="center"/>
      <protection/>
    </xf>
    <xf numFmtId="0" fontId="17" fillId="0" borderId="45" xfId="46" applyFont="1" applyBorder="1">
      <alignment/>
      <protection/>
    </xf>
    <xf numFmtId="49" fontId="17" fillId="0" borderId="40" xfId="46" applyNumberFormat="1" applyFont="1" applyBorder="1">
      <alignment/>
      <protection/>
    </xf>
    <xf numFmtId="0" fontId="17" fillId="0" borderId="46" xfId="46" applyFont="1" applyBorder="1">
      <alignment/>
      <protection/>
    </xf>
    <xf numFmtId="2" fontId="17" fillId="0" borderId="47" xfId="46" applyNumberFormat="1" applyFont="1" applyBorder="1">
      <alignment/>
      <protection/>
    </xf>
    <xf numFmtId="169" fontId="17" fillId="0" borderId="48" xfId="46" applyNumberFormat="1" applyFont="1" applyBorder="1">
      <alignment/>
      <protection/>
    </xf>
    <xf numFmtId="49" fontId="17" fillId="0" borderId="49" xfId="46" applyNumberFormat="1" applyFont="1" applyBorder="1">
      <alignment/>
      <protection/>
    </xf>
    <xf numFmtId="0" fontId="17" fillId="0" borderId="50" xfId="46" applyFont="1" applyBorder="1">
      <alignment/>
      <protection/>
    </xf>
    <xf numFmtId="0" fontId="17" fillId="0" borderId="33" xfId="46" applyFont="1" applyBorder="1">
      <alignment/>
      <protection/>
    </xf>
    <xf numFmtId="0" fontId="17" fillId="0" borderId="51" xfId="46" applyFont="1" applyBorder="1">
      <alignment/>
      <protection/>
    </xf>
    <xf numFmtId="0" fontId="17" fillId="0" borderId="36" xfId="46" applyFont="1" applyBorder="1">
      <alignment/>
      <protection/>
    </xf>
    <xf numFmtId="0" fontId="22" fillId="36" borderId="37" xfId="46" applyFont="1" applyFill="1" applyBorder="1">
      <alignment/>
      <protection/>
    </xf>
    <xf numFmtId="0" fontId="20" fillId="36" borderId="52" xfId="46" applyFont="1" applyFill="1" applyBorder="1" applyAlignment="1">
      <alignment/>
      <protection/>
    </xf>
    <xf numFmtId="0" fontId="17" fillId="38" borderId="53" xfId="46" applyFont="1" applyFill="1" applyBorder="1">
      <alignment/>
      <protection/>
    </xf>
    <xf numFmtId="0" fontId="17" fillId="38" borderId="54" xfId="46" applyFont="1" applyFill="1" applyBorder="1">
      <alignment/>
      <protection/>
    </xf>
    <xf numFmtId="0" fontId="17" fillId="38" borderId="55" xfId="46" applyFont="1" applyFill="1" applyBorder="1">
      <alignment/>
      <protection/>
    </xf>
    <xf numFmtId="0" fontId="15" fillId="0" borderId="42" xfId="46" applyFont="1" applyBorder="1">
      <alignment/>
      <protection/>
    </xf>
    <xf numFmtId="49" fontId="15" fillId="0" borderId="56" xfId="46" applyNumberFormat="1" applyFont="1" applyBorder="1">
      <alignment/>
      <protection/>
    </xf>
    <xf numFmtId="0" fontId="17" fillId="0" borderId="56" xfId="46" applyFont="1" applyBorder="1">
      <alignment/>
      <protection/>
    </xf>
    <xf numFmtId="0" fontId="17" fillId="0" borderId="57" xfId="46" applyFont="1" applyBorder="1">
      <alignment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168" fontId="17" fillId="0" borderId="59" xfId="46" applyNumberFormat="1" applyFont="1" applyBorder="1">
      <alignment/>
      <protection/>
    </xf>
    <xf numFmtId="168" fontId="17" fillId="0" borderId="50" xfId="46" applyNumberFormat="1" applyFont="1" applyBorder="1">
      <alignment/>
      <protection/>
    </xf>
    <xf numFmtId="168" fontId="17" fillId="0" borderId="51" xfId="46" applyNumberFormat="1" applyFont="1" applyBorder="1">
      <alignment/>
      <protection/>
    </xf>
    <xf numFmtId="168" fontId="17" fillId="0" borderId="60" xfId="46" applyNumberFormat="1" applyFont="1" applyBorder="1">
      <alignment/>
      <protection/>
    </xf>
    <xf numFmtId="168" fontId="17" fillId="0" borderId="46" xfId="46" applyNumberFormat="1" applyFont="1" applyBorder="1">
      <alignment/>
      <protection/>
    </xf>
    <xf numFmtId="0" fontId="18" fillId="36" borderId="37" xfId="46" applyFont="1" applyFill="1" applyBorder="1" applyAlignment="1">
      <alignment vertical="center"/>
      <protection/>
    </xf>
    <xf numFmtId="0" fontId="18" fillId="36" borderId="22" xfId="46" applyFont="1" applyFill="1" applyBorder="1" applyAlignment="1">
      <alignment vertical="center"/>
      <protection/>
    </xf>
    <xf numFmtId="0" fontId="18" fillId="36" borderId="38" xfId="46" applyFont="1" applyFill="1" applyBorder="1" applyAlignment="1">
      <alignment vertical="center"/>
      <protection/>
    </xf>
    <xf numFmtId="167" fontId="17" fillId="0" borderId="29" xfId="46" applyNumberFormat="1" applyFont="1" applyBorder="1">
      <alignment/>
      <protection/>
    </xf>
    <xf numFmtId="167" fontId="19" fillId="0" borderId="30" xfId="46" applyNumberFormat="1" applyFont="1" applyBorder="1">
      <alignment/>
      <protection/>
    </xf>
    <xf numFmtId="167" fontId="17" fillId="0" borderId="33" xfId="46" applyNumberFormat="1" applyFont="1" applyBorder="1">
      <alignment/>
      <protection/>
    </xf>
    <xf numFmtId="167" fontId="17" fillId="0" borderId="36" xfId="46" applyNumberFormat="1" applyFont="1" applyBorder="1">
      <alignment/>
      <protection/>
    </xf>
    <xf numFmtId="167" fontId="20" fillId="36" borderId="38" xfId="46" applyNumberFormat="1" applyFont="1" applyFill="1" applyBorder="1">
      <alignment/>
      <protection/>
    </xf>
    <xf numFmtId="167" fontId="19" fillId="0" borderId="41" xfId="46" applyNumberFormat="1" applyFont="1" applyBorder="1">
      <alignment/>
      <protection/>
    </xf>
    <xf numFmtId="167" fontId="17" fillId="0" borderId="44" xfId="46" applyNumberFormat="1" applyFont="1" applyBorder="1">
      <alignment/>
      <protection/>
    </xf>
    <xf numFmtId="167" fontId="20" fillId="36" borderId="30" xfId="46" applyNumberFormat="1" applyFont="1" applyFill="1" applyBorder="1">
      <alignment/>
      <protection/>
    </xf>
    <xf numFmtId="167" fontId="17" fillId="0" borderId="48" xfId="46" applyNumberFormat="1" applyFont="1" applyBorder="1">
      <alignment/>
      <protection/>
    </xf>
    <xf numFmtId="167" fontId="17" fillId="38" borderId="55" xfId="46" applyNumberFormat="1" applyFont="1" applyFill="1" applyBorder="1">
      <alignment/>
      <protection/>
    </xf>
    <xf numFmtId="167" fontId="17" fillId="0" borderId="57" xfId="46" applyNumberFormat="1" applyFont="1" applyBorder="1">
      <alignment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0" fontId="3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63" xfId="0" applyNumberFormat="1" applyFont="1" applyFill="1" applyBorder="1" applyAlignment="1" applyProtection="1">
      <alignment horizontal="left" vertical="center"/>
      <protection/>
    </xf>
    <xf numFmtId="0" fontId="2" fillId="0" borderId="6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68" xfId="0" applyNumberFormat="1" applyFont="1" applyFill="1" applyBorder="1" applyAlignment="1" applyProtection="1">
      <alignment horizontal="left" vertical="center"/>
      <protection/>
    </xf>
    <xf numFmtId="0" fontId="2" fillId="0" borderId="69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49" fontId="6" fillId="34" borderId="22" xfId="0" applyNumberFormat="1" applyFont="1" applyFill="1" applyBorder="1" applyAlignment="1" applyProtection="1">
      <alignment horizontal="left" vertical="center"/>
      <protection/>
    </xf>
    <xf numFmtId="0" fontId="6" fillId="34" borderId="22" xfId="0" applyNumberFormat="1" applyFont="1" applyFill="1" applyBorder="1" applyAlignment="1" applyProtection="1">
      <alignment horizontal="left" vertical="center"/>
      <protection/>
    </xf>
    <xf numFmtId="49" fontId="6" fillId="34" borderId="0" xfId="0" applyNumberFormat="1" applyFont="1" applyFill="1" applyBorder="1" applyAlignment="1" applyProtection="1">
      <alignment horizontal="left" vertical="center"/>
      <protection/>
    </xf>
    <xf numFmtId="0" fontId="6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17" fillId="0" borderId="0" xfId="46" applyFont="1" applyAlignment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left" vertical="center" wrapText="1"/>
      <protection/>
    </xf>
    <xf numFmtId="0" fontId="2" fillId="0" borderId="64" xfId="0" applyNumberFormat="1" applyFont="1" applyFill="1" applyBorder="1" applyAlignment="1" applyProtection="1">
      <alignment horizontal="left" vertical="center" wrapText="1"/>
      <protection/>
    </xf>
    <xf numFmtId="49" fontId="3" fillId="0" borderId="70" xfId="0" applyNumberFormat="1" applyFont="1" applyFill="1" applyBorder="1" applyAlignment="1" applyProtection="1">
      <alignment horizontal="left" vertical="center"/>
      <protection/>
    </xf>
    <xf numFmtId="0" fontId="3" fillId="0" borderId="71" xfId="0" applyNumberFormat="1" applyFont="1" applyFill="1" applyBorder="1" applyAlignment="1" applyProtection="1">
      <alignment horizontal="left" vertical="center"/>
      <protection/>
    </xf>
    <xf numFmtId="49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0</xdr:row>
      <xdr:rowOff>38100</xdr:rowOff>
    </xdr:from>
    <xdr:to>
      <xdr:col>11</xdr:col>
      <xdr:colOff>619125</xdr:colOff>
      <xdr:row>0</xdr:row>
      <xdr:rowOff>219075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0620375" y="38100"/>
          <a:ext cx="914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Příloha č.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3"/>
  <sheetViews>
    <sheetView zoomScalePageLayoutView="0" workbookViewId="0" topLeftCell="A1">
      <selection activeCell="J6" sqref="J6:M7"/>
    </sheetView>
  </sheetViews>
  <sheetFormatPr defaultColWidth="11.57421875" defaultRowHeight="12.75"/>
  <cols>
    <col min="1" max="1" width="3.7109375" style="1" customWidth="1"/>
    <col min="2" max="2" width="6.8515625" style="1" customWidth="1"/>
    <col min="3" max="3" width="13.28125" style="1" customWidth="1"/>
    <col min="4" max="4" width="54.28125" style="1" customWidth="1"/>
    <col min="5" max="5" width="6.140625" style="1" customWidth="1"/>
    <col min="6" max="6" width="12.8515625" style="1" customWidth="1"/>
    <col min="7" max="7" width="12.00390625" style="1" customWidth="1"/>
    <col min="8" max="10" width="14.28125" style="1" customWidth="1"/>
    <col min="11" max="12" width="11.7109375" style="1" customWidth="1"/>
    <col min="13" max="13" width="11.7109375" style="1" hidden="1" customWidth="1"/>
    <col min="14" max="14" width="0" style="1" hidden="1" customWidth="1"/>
    <col min="15" max="47" width="12.140625" style="1" hidden="1" customWidth="1"/>
    <col min="48" max="16384" width="11.57421875" style="1" customWidth="1"/>
  </cols>
  <sheetData>
    <row r="1" spans="1:13" ht="17.25" customHeight="1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4" ht="12" customHeight="1">
      <c r="A2" s="181" t="s">
        <v>1</v>
      </c>
      <c r="B2" s="182"/>
      <c r="C2" s="182"/>
      <c r="D2" s="184" t="s">
        <v>394</v>
      </c>
      <c r="E2" s="186" t="s">
        <v>266</v>
      </c>
      <c r="F2" s="182"/>
      <c r="G2" s="186"/>
      <c r="H2" s="182"/>
      <c r="I2" s="187" t="s">
        <v>287</v>
      </c>
      <c r="J2" s="187" t="s">
        <v>386</v>
      </c>
      <c r="K2" s="182"/>
      <c r="L2" s="182"/>
      <c r="M2" s="188"/>
      <c r="N2" s="2"/>
    </row>
    <row r="3" spans="1:14" ht="12.75" customHeight="1">
      <c r="A3" s="183"/>
      <c r="B3" s="178"/>
      <c r="C3" s="178"/>
      <c r="D3" s="185"/>
      <c r="E3" s="178"/>
      <c r="F3" s="178"/>
      <c r="G3" s="178"/>
      <c r="H3" s="178"/>
      <c r="I3" s="178"/>
      <c r="J3" s="178"/>
      <c r="K3" s="178"/>
      <c r="L3" s="178"/>
      <c r="M3" s="189"/>
      <c r="N3" s="2"/>
    </row>
    <row r="4" spans="1:14" ht="12" customHeight="1">
      <c r="A4" s="191" t="s">
        <v>2</v>
      </c>
      <c r="B4" s="178"/>
      <c r="C4" s="178"/>
      <c r="D4" s="190" t="s">
        <v>172</v>
      </c>
      <c r="E4" s="192" t="s">
        <v>267</v>
      </c>
      <c r="F4" s="178"/>
      <c r="G4" s="177"/>
      <c r="H4" s="178"/>
      <c r="I4" s="190" t="s">
        <v>288</v>
      </c>
      <c r="J4" s="190" t="s">
        <v>387</v>
      </c>
      <c r="K4" s="178"/>
      <c r="L4" s="178"/>
      <c r="M4" s="189"/>
      <c r="N4" s="2"/>
    </row>
    <row r="5" spans="1:14" ht="9.75" customHeight="1">
      <c r="A5" s="183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89"/>
      <c r="N5" s="2"/>
    </row>
    <row r="6" spans="1:14" ht="12">
      <c r="A6" s="191" t="s">
        <v>3</v>
      </c>
      <c r="B6" s="178"/>
      <c r="C6" s="178"/>
      <c r="D6" s="190" t="s">
        <v>173</v>
      </c>
      <c r="E6" s="192" t="s">
        <v>268</v>
      </c>
      <c r="F6" s="178"/>
      <c r="G6" s="178"/>
      <c r="H6" s="178"/>
      <c r="I6" s="190" t="s">
        <v>289</v>
      </c>
      <c r="J6" s="190"/>
      <c r="K6" s="178"/>
      <c r="L6" s="178"/>
      <c r="M6" s="189"/>
      <c r="N6" s="2"/>
    </row>
    <row r="7" spans="1:14" ht="1.5" customHeight="1">
      <c r="A7" s="183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89"/>
      <c r="N7" s="2"/>
    </row>
    <row r="8" spans="1:14" ht="10.5" customHeight="1">
      <c r="A8" s="191" t="s">
        <v>4</v>
      </c>
      <c r="B8" s="178"/>
      <c r="C8" s="178"/>
      <c r="D8" s="190"/>
      <c r="E8" s="192" t="s">
        <v>269</v>
      </c>
      <c r="F8" s="178"/>
      <c r="G8" s="177">
        <v>43066</v>
      </c>
      <c r="H8" s="178"/>
      <c r="I8" s="190" t="s">
        <v>290</v>
      </c>
      <c r="J8" s="190"/>
      <c r="K8" s="178"/>
      <c r="L8" s="190"/>
      <c r="M8" s="189"/>
      <c r="N8" s="2"/>
    </row>
    <row r="9" spans="1:14" ht="3" customHeight="1" thickBot="1">
      <c r="A9" s="196"/>
      <c r="B9" s="197"/>
      <c r="C9" s="197"/>
      <c r="D9" s="197"/>
      <c r="E9" s="197"/>
      <c r="F9" s="197"/>
      <c r="G9" s="197"/>
      <c r="H9" s="178"/>
      <c r="I9" s="178"/>
      <c r="J9" s="178"/>
      <c r="K9" s="178"/>
      <c r="L9" s="178"/>
      <c r="M9" s="189"/>
      <c r="N9" s="2"/>
    </row>
    <row r="10" spans="1:14" ht="12">
      <c r="A10" s="4" t="s">
        <v>5</v>
      </c>
      <c r="B10" s="5" t="s">
        <v>83</v>
      </c>
      <c r="C10" s="5" t="s">
        <v>87</v>
      </c>
      <c r="D10" s="5" t="s">
        <v>174</v>
      </c>
      <c r="E10" s="5" t="s">
        <v>270</v>
      </c>
      <c r="F10" s="6" t="s">
        <v>281</v>
      </c>
      <c r="G10" s="7" t="s">
        <v>282</v>
      </c>
      <c r="H10" s="193" t="s">
        <v>284</v>
      </c>
      <c r="I10" s="194"/>
      <c r="J10" s="195"/>
      <c r="K10" s="193" t="s">
        <v>293</v>
      </c>
      <c r="L10" s="195"/>
      <c r="M10" s="154" t="s">
        <v>294</v>
      </c>
      <c r="N10" s="8"/>
    </row>
    <row r="11" spans="1:24" ht="12.75" thickBot="1">
      <c r="A11" s="9" t="s">
        <v>6</v>
      </c>
      <c r="B11" s="10" t="s">
        <v>6</v>
      </c>
      <c r="C11" s="10" t="s">
        <v>6</v>
      </c>
      <c r="D11" s="11" t="s">
        <v>175</v>
      </c>
      <c r="E11" s="10" t="s">
        <v>6</v>
      </c>
      <c r="F11" s="10" t="s">
        <v>6</v>
      </c>
      <c r="G11" s="12" t="s">
        <v>283</v>
      </c>
      <c r="H11" s="13" t="s">
        <v>285</v>
      </c>
      <c r="I11" s="14" t="s">
        <v>291</v>
      </c>
      <c r="J11" s="15" t="s">
        <v>292</v>
      </c>
      <c r="K11" s="13" t="s">
        <v>282</v>
      </c>
      <c r="L11" s="15" t="s">
        <v>292</v>
      </c>
      <c r="M11" s="16" t="s">
        <v>295</v>
      </c>
      <c r="N11" s="8"/>
      <c r="P11" s="17" t="s">
        <v>297</v>
      </c>
      <c r="Q11" s="17" t="s">
        <v>298</v>
      </c>
      <c r="R11" s="17" t="s">
        <v>303</v>
      </c>
      <c r="S11" s="17" t="s">
        <v>304</v>
      </c>
      <c r="T11" s="17" t="s">
        <v>305</v>
      </c>
      <c r="U11" s="17" t="s">
        <v>306</v>
      </c>
      <c r="V11" s="17" t="s">
        <v>307</v>
      </c>
      <c r="W11" s="17" t="s">
        <v>308</v>
      </c>
      <c r="X11" s="17" t="s">
        <v>309</v>
      </c>
    </row>
    <row r="12" spans="1:13" ht="12">
      <c r="A12" s="18"/>
      <c r="B12" s="19"/>
      <c r="C12" s="19"/>
      <c r="D12" s="200" t="s">
        <v>176</v>
      </c>
      <c r="E12" s="201"/>
      <c r="F12" s="201"/>
      <c r="G12" s="201"/>
      <c r="H12" s="20">
        <f>H13</f>
        <v>0</v>
      </c>
      <c r="I12" s="20">
        <f>I13</f>
        <v>0</v>
      </c>
      <c r="J12" s="20">
        <f>H12+I12</f>
        <v>0</v>
      </c>
      <c r="K12" s="21"/>
      <c r="L12" s="20">
        <f>L13</f>
        <v>0</v>
      </c>
      <c r="M12" s="21"/>
    </row>
    <row r="13" spans="1:37" ht="12">
      <c r="A13" s="22"/>
      <c r="B13" s="23"/>
      <c r="C13" s="23" t="s">
        <v>88</v>
      </c>
      <c r="D13" s="198" t="s">
        <v>177</v>
      </c>
      <c r="E13" s="199"/>
      <c r="F13" s="199"/>
      <c r="G13" s="199"/>
      <c r="H13" s="24">
        <f>SUM(H14:H16)</f>
        <v>0</v>
      </c>
      <c r="I13" s="24">
        <f>SUM(I14:I16)</f>
        <v>0</v>
      </c>
      <c r="J13" s="24">
        <f>H13+I13</f>
        <v>0</v>
      </c>
      <c r="K13" s="17"/>
      <c r="L13" s="24">
        <f>SUM(L14:L16)</f>
        <v>0</v>
      </c>
      <c r="M13" s="17"/>
      <c r="P13" s="24">
        <f>IF(Q13="PR",J13,SUM(O14:O16))</f>
        <v>0</v>
      </c>
      <c r="Q13" s="17" t="s">
        <v>299</v>
      </c>
      <c r="R13" s="24">
        <f>IF(Q13="HS",H13,0)</f>
        <v>0</v>
      </c>
      <c r="S13" s="24">
        <f>IF(Q13="HS",I13-P13,0)</f>
        <v>0</v>
      </c>
      <c r="T13" s="24">
        <f>IF(Q13="PS",H13,0)</f>
        <v>0</v>
      </c>
      <c r="U13" s="24">
        <f>IF(Q13="PS",I13-P13,0)</f>
        <v>0</v>
      </c>
      <c r="V13" s="24">
        <f>IF(Q13="MP",H13,0)</f>
        <v>0</v>
      </c>
      <c r="W13" s="24">
        <f>IF(Q13="MP",I13-P13,0)</f>
        <v>0</v>
      </c>
      <c r="X13" s="24">
        <f>IF(Q13="OM",H13,0)</f>
        <v>0</v>
      </c>
      <c r="Y13" s="17"/>
      <c r="AI13" s="24">
        <f>SUM(Z14:Z16)</f>
        <v>0</v>
      </c>
      <c r="AJ13" s="24">
        <f>SUM(AA14:AA16)</f>
        <v>0</v>
      </c>
      <c r="AK13" s="24">
        <f>SUM(AB14:AB16)</f>
        <v>0</v>
      </c>
    </row>
    <row r="14" spans="1:43" ht="12">
      <c r="A14" s="50" t="s">
        <v>7</v>
      </c>
      <c r="B14" s="50" t="s">
        <v>84</v>
      </c>
      <c r="C14" s="50" t="s">
        <v>89</v>
      </c>
      <c r="D14" s="157" t="s">
        <v>178</v>
      </c>
      <c r="E14" s="50" t="s">
        <v>279</v>
      </c>
      <c r="F14" s="51">
        <v>0</v>
      </c>
      <c r="G14" s="26"/>
      <c r="H14" s="26"/>
      <c r="I14" s="26"/>
      <c r="J14" s="26"/>
      <c r="K14" s="26"/>
      <c r="L14" s="26"/>
      <c r="M14" s="27"/>
      <c r="N14" s="27" t="s">
        <v>7</v>
      </c>
      <c r="O14" s="26">
        <f>IF(N14="5",I14,0)</f>
        <v>0</v>
      </c>
      <c r="Z14" s="26">
        <f>IF(AD14=0,J14,0)</f>
        <v>0</v>
      </c>
      <c r="AA14" s="26">
        <f>IF(AD14=15,J14,0)</f>
        <v>0</v>
      </c>
      <c r="AB14" s="26">
        <f>IF(AD14=21,J14,0)</f>
        <v>0</v>
      </c>
      <c r="AD14" s="28">
        <v>21</v>
      </c>
      <c r="AE14" s="28">
        <f>G14*0.852941176470588</f>
        <v>0</v>
      </c>
      <c r="AF14" s="28">
        <f>G14*(1-0.852941176470588)</f>
        <v>0</v>
      </c>
      <c r="AM14" s="28">
        <f>F14*AE14</f>
        <v>0</v>
      </c>
      <c r="AN14" s="28">
        <f>F14*AF14</f>
        <v>0</v>
      </c>
      <c r="AO14" s="29" t="s">
        <v>310</v>
      </c>
      <c r="AP14" s="29" t="s">
        <v>327</v>
      </c>
      <c r="AQ14" s="17" t="s">
        <v>335</v>
      </c>
    </row>
    <row r="15" spans="1:43" ht="12">
      <c r="A15" s="25" t="s">
        <v>8</v>
      </c>
      <c r="B15" s="25" t="s">
        <v>84</v>
      </c>
      <c r="C15" s="25" t="s">
        <v>90</v>
      </c>
      <c r="D15" s="49" t="s">
        <v>179</v>
      </c>
      <c r="E15" s="25" t="s">
        <v>279</v>
      </c>
      <c r="F15" s="26">
        <v>6</v>
      </c>
      <c r="G15" s="26"/>
      <c r="H15" s="26"/>
      <c r="I15" s="26"/>
      <c r="J15" s="26"/>
      <c r="K15" s="26"/>
      <c r="L15" s="26"/>
      <c r="M15" s="27"/>
      <c r="N15" s="27" t="s">
        <v>7</v>
      </c>
      <c r="O15" s="26">
        <f>IF(N15="5",I15,0)</f>
        <v>0</v>
      </c>
      <c r="Z15" s="26">
        <f>IF(AD15=0,J15,0)</f>
        <v>0</v>
      </c>
      <c r="AA15" s="26">
        <f>IF(AD15=15,J15,0)</f>
        <v>0</v>
      </c>
      <c r="AB15" s="26">
        <f>IF(AD15=21,J15,0)</f>
        <v>0</v>
      </c>
      <c r="AD15" s="28">
        <v>21</v>
      </c>
      <c r="AE15" s="28">
        <f>G15*0.878787878787879</f>
        <v>0</v>
      </c>
      <c r="AF15" s="28">
        <f>G15*(1-0.878787878787879)</f>
        <v>0</v>
      </c>
      <c r="AM15" s="28">
        <f>F15*AE15</f>
        <v>0</v>
      </c>
      <c r="AN15" s="28">
        <f>F15*AF15</f>
        <v>0</v>
      </c>
      <c r="AO15" s="29" t="s">
        <v>310</v>
      </c>
      <c r="AP15" s="29" t="s">
        <v>327</v>
      </c>
      <c r="AQ15" s="17" t="s">
        <v>335</v>
      </c>
    </row>
    <row r="16" spans="1:43" ht="12">
      <c r="A16" s="50" t="s">
        <v>9</v>
      </c>
      <c r="B16" s="50" t="s">
        <v>84</v>
      </c>
      <c r="C16" s="50" t="s">
        <v>89</v>
      </c>
      <c r="D16" s="157" t="s">
        <v>180</v>
      </c>
      <c r="E16" s="50" t="s">
        <v>279</v>
      </c>
      <c r="F16" s="51">
        <v>0</v>
      </c>
      <c r="G16" s="26"/>
      <c r="H16" s="26"/>
      <c r="I16" s="26"/>
      <c r="J16" s="26"/>
      <c r="K16" s="26"/>
      <c r="L16" s="26"/>
      <c r="M16" s="27"/>
      <c r="N16" s="27" t="s">
        <v>7</v>
      </c>
      <c r="O16" s="26">
        <f>IF(N16="5",I16,0)</f>
        <v>0</v>
      </c>
      <c r="Z16" s="26">
        <f>IF(AD16=0,J16,0)</f>
        <v>0</v>
      </c>
      <c r="AA16" s="26">
        <f>IF(AD16=15,J16,0)</f>
        <v>0</v>
      </c>
      <c r="AB16" s="26">
        <f>IF(AD16=21,J16,0)</f>
        <v>0</v>
      </c>
      <c r="AD16" s="28">
        <v>21</v>
      </c>
      <c r="AE16" s="28">
        <f>G16*0.852941176470588</f>
        <v>0</v>
      </c>
      <c r="AF16" s="28">
        <f>G16*(1-0.852941176470588)</f>
        <v>0</v>
      </c>
      <c r="AM16" s="28">
        <f>F16*AE16</f>
        <v>0</v>
      </c>
      <c r="AN16" s="28">
        <f>F16*AF16</f>
        <v>0</v>
      </c>
      <c r="AO16" s="29" t="s">
        <v>310</v>
      </c>
      <c r="AP16" s="29" t="s">
        <v>327</v>
      </c>
      <c r="AQ16" s="17" t="s">
        <v>335</v>
      </c>
    </row>
    <row r="17" spans="1:13" ht="9.75" customHeight="1">
      <c r="A17" s="30"/>
      <c r="B17" s="31" t="s">
        <v>85</v>
      </c>
      <c r="C17" s="31"/>
      <c r="D17" s="202" t="s">
        <v>181</v>
      </c>
      <c r="E17" s="203"/>
      <c r="F17" s="203"/>
      <c r="G17" s="203"/>
      <c r="H17" s="32">
        <f>H18+H20+H26+H29+H32+H37+H44+H56+H64+H69+H71+H85+H90+H93+H95</f>
        <v>0</v>
      </c>
      <c r="I17" s="32">
        <f>I18+I20+I26+I29+I32+I37+I44+I56+I64+I69+I71+I85+I90+I93+I95</f>
        <v>0</v>
      </c>
      <c r="J17" s="32">
        <f>H17+I17</f>
        <v>0</v>
      </c>
      <c r="K17" s="33"/>
      <c r="L17" s="32">
        <f>L18+L20+L26+L29+L32+L37+L44+L56+L64+L69+L71+L85+L90+L93+L95</f>
        <v>0</v>
      </c>
      <c r="M17" s="33"/>
    </row>
    <row r="18" spans="1:37" ht="8.25" customHeight="1">
      <c r="A18" s="22"/>
      <c r="B18" s="23" t="s">
        <v>85</v>
      </c>
      <c r="C18" s="23" t="s">
        <v>47</v>
      </c>
      <c r="D18" s="198" t="s">
        <v>182</v>
      </c>
      <c r="E18" s="199"/>
      <c r="F18" s="199"/>
      <c r="G18" s="199"/>
      <c r="H18" s="24">
        <f>SUM(H19:H19)</f>
        <v>0</v>
      </c>
      <c r="I18" s="24">
        <f>SUM(I19:I19)</f>
        <v>0</v>
      </c>
      <c r="J18" s="24">
        <f>H18+I18</f>
        <v>0</v>
      </c>
      <c r="K18" s="17"/>
      <c r="L18" s="24">
        <f>SUM(L19:L19)</f>
        <v>0</v>
      </c>
      <c r="M18" s="17"/>
      <c r="P18" s="24">
        <f>IF(Q18="PR",J18,SUM(O19:O19))</f>
        <v>0</v>
      </c>
      <c r="Q18" s="17" t="s">
        <v>299</v>
      </c>
      <c r="R18" s="24">
        <f>IF(Q18="HS",H18,0)</f>
        <v>0</v>
      </c>
      <c r="S18" s="24">
        <f>IF(Q18="HS",I18-P18,0)</f>
        <v>0</v>
      </c>
      <c r="T18" s="24">
        <f>IF(Q18="PS",H18,0)</f>
        <v>0</v>
      </c>
      <c r="U18" s="24">
        <f>IF(Q18="PS",I18-P18,0)</f>
        <v>0</v>
      </c>
      <c r="V18" s="24">
        <f>IF(Q18="MP",H18,0)</f>
        <v>0</v>
      </c>
      <c r="W18" s="24">
        <f>IF(Q18="MP",I18-P18,0)</f>
        <v>0</v>
      </c>
      <c r="X18" s="24">
        <f>IF(Q18="OM",H18,0)</f>
        <v>0</v>
      </c>
      <c r="Y18" s="17" t="s">
        <v>85</v>
      </c>
      <c r="AI18" s="24">
        <f>SUM(Z19:Z19)</f>
        <v>0</v>
      </c>
      <c r="AJ18" s="24">
        <f>SUM(AA19:AA19)</f>
        <v>0</v>
      </c>
      <c r="AK18" s="24">
        <f>SUM(AB19:AB19)</f>
        <v>0</v>
      </c>
    </row>
    <row r="19" spans="1:43" ht="12">
      <c r="A19" s="25" t="s">
        <v>10</v>
      </c>
      <c r="B19" s="25" t="s">
        <v>85</v>
      </c>
      <c r="C19" s="25" t="s">
        <v>91</v>
      </c>
      <c r="D19" s="25" t="s">
        <v>183</v>
      </c>
      <c r="E19" s="25" t="s">
        <v>272</v>
      </c>
      <c r="F19" s="26">
        <v>117.7</v>
      </c>
      <c r="G19" s="26"/>
      <c r="H19" s="26"/>
      <c r="I19" s="26"/>
      <c r="J19" s="26"/>
      <c r="K19" s="26"/>
      <c r="L19" s="26"/>
      <c r="M19" s="27" t="s">
        <v>385</v>
      </c>
      <c r="N19" s="27" t="s">
        <v>7</v>
      </c>
      <c r="O19" s="26">
        <f>IF(N19="5",I19,0)</f>
        <v>0</v>
      </c>
      <c r="Z19" s="26">
        <f>IF(AD19=0,J19,0)</f>
        <v>0</v>
      </c>
      <c r="AA19" s="26">
        <f>IF(AD19=15,J19,0)</f>
        <v>0</v>
      </c>
      <c r="AB19" s="26">
        <f>IF(AD19=21,J19,0)</f>
        <v>0</v>
      </c>
      <c r="AD19" s="28">
        <v>21</v>
      </c>
      <c r="AE19" s="28">
        <f>G19*0.526445714285714</f>
        <v>0</v>
      </c>
      <c r="AF19" s="28">
        <f>G19*(1-0.526445714285714)</f>
        <v>0</v>
      </c>
      <c r="AM19" s="28">
        <f>F19*AE19</f>
        <v>0</v>
      </c>
      <c r="AN19" s="28">
        <f>F19*AF19</f>
        <v>0</v>
      </c>
      <c r="AO19" s="29" t="s">
        <v>311</v>
      </c>
      <c r="AP19" s="29" t="s">
        <v>328</v>
      </c>
      <c r="AQ19" s="17" t="s">
        <v>336</v>
      </c>
    </row>
    <row r="20" spans="1:37" ht="12">
      <c r="A20" s="22"/>
      <c r="B20" s="23" t="s">
        <v>85</v>
      </c>
      <c r="C20" s="23" t="s">
        <v>67</v>
      </c>
      <c r="D20" s="198" t="s">
        <v>184</v>
      </c>
      <c r="E20" s="199"/>
      <c r="F20" s="199"/>
      <c r="G20" s="199"/>
      <c r="H20" s="24">
        <f>SUM(H21:H25)</f>
        <v>0</v>
      </c>
      <c r="I20" s="24">
        <f>SUM(I21:I25)</f>
        <v>0</v>
      </c>
      <c r="J20" s="24">
        <f>H20+I20</f>
        <v>0</v>
      </c>
      <c r="K20" s="17"/>
      <c r="L20" s="24">
        <f>SUM(L21:L25)</f>
        <v>0</v>
      </c>
      <c r="M20" s="17"/>
      <c r="P20" s="24">
        <f>IF(Q20="PR",J20,SUM(O21:O25))</f>
        <v>0</v>
      </c>
      <c r="Q20" s="17" t="s">
        <v>299</v>
      </c>
      <c r="R20" s="24">
        <f>IF(Q20="HS",H20,0)</f>
        <v>0</v>
      </c>
      <c r="S20" s="24">
        <f>IF(Q20="HS",I20-P20,0)</f>
        <v>0</v>
      </c>
      <c r="T20" s="24">
        <f>IF(Q20="PS",H20,0)</f>
        <v>0</v>
      </c>
      <c r="U20" s="24">
        <f>IF(Q20="PS",I20-P20,0)</f>
        <v>0</v>
      </c>
      <c r="V20" s="24">
        <f>IF(Q20="MP",H20,0)</f>
        <v>0</v>
      </c>
      <c r="W20" s="24">
        <f>IF(Q20="MP",I20-P20,0)</f>
        <v>0</v>
      </c>
      <c r="X20" s="24">
        <f>IF(Q20="OM",H20,0)</f>
        <v>0</v>
      </c>
      <c r="Y20" s="17" t="s">
        <v>85</v>
      </c>
      <c r="AI20" s="24">
        <f>SUM(Z21:Z25)</f>
        <v>0</v>
      </c>
      <c r="AJ20" s="24">
        <f>SUM(AA21:AA25)</f>
        <v>0</v>
      </c>
      <c r="AK20" s="24">
        <f>SUM(AB21:AB25)</f>
        <v>0</v>
      </c>
    </row>
    <row r="21" spans="1:43" ht="12">
      <c r="A21" s="25" t="s">
        <v>11</v>
      </c>
      <c r="B21" s="25" t="s">
        <v>85</v>
      </c>
      <c r="C21" s="25" t="s">
        <v>92</v>
      </c>
      <c r="D21" s="25" t="s">
        <v>185</v>
      </c>
      <c r="E21" s="25" t="s">
        <v>272</v>
      </c>
      <c r="F21" s="26">
        <v>58.78</v>
      </c>
      <c r="G21" s="26"/>
      <c r="H21" s="26"/>
      <c r="I21" s="26"/>
      <c r="J21" s="26"/>
      <c r="K21" s="26"/>
      <c r="L21" s="26"/>
      <c r="M21" s="27" t="s">
        <v>385</v>
      </c>
      <c r="N21" s="27" t="s">
        <v>7</v>
      </c>
      <c r="O21" s="26">
        <f>IF(N21="5",I21,0)</f>
        <v>0</v>
      </c>
      <c r="Z21" s="26">
        <f>IF(AD21=0,J21,0)</f>
        <v>0</v>
      </c>
      <c r="AA21" s="26">
        <f>IF(AD21=15,J21,0)</f>
        <v>0</v>
      </c>
      <c r="AB21" s="26">
        <f>IF(AD21=21,J21,0)</f>
        <v>0</v>
      </c>
      <c r="AD21" s="28">
        <v>21</v>
      </c>
      <c r="AE21" s="28">
        <f>G21*0.420140845070422</f>
        <v>0</v>
      </c>
      <c r="AF21" s="28">
        <f>G21*(1-0.420140845070422)</f>
        <v>0</v>
      </c>
      <c r="AM21" s="28">
        <f>F21*AE21</f>
        <v>0</v>
      </c>
      <c r="AN21" s="28">
        <f>F21*AF21</f>
        <v>0</v>
      </c>
      <c r="AO21" s="29" t="s">
        <v>312</v>
      </c>
      <c r="AP21" s="29" t="s">
        <v>329</v>
      </c>
      <c r="AQ21" s="17" t="s">
        <v>336</v>
      </c>
    </row>
    <row r="22" spans="1:43" ht="12">
      <c r="A22" s="25" t="s">
        <v>12</v>
      </c>
      <c r="B22" s="25" t="s">
        <v>85</v>
      </c>
      <c r="C22" s="25" t="s">
        <v>93</v>
      </c>
      <c r="D22" s="25" t="s">
        <v>186</v>
      </c>
      <c r="E22" s="25" t="s">
        <v>272</v>
      </c>
      <c r="F22" s="26">
        <v>93.96</v>
      </c>
      <c r="G22" s="26"/>
      <c r="H22" s="26"/>
      <c r="I22" s="26"/>
      <c r="J22" s="26"/>
      <c r="K22" s="26"/>
      <c r="L22" s="26"/>
      <c r="M22" s="27" t="s">
        <v>385</v>
      </c>
      <c r="N22" s="27" t="s">
        <v>7</v>
      </c>
      <c r="O22" s="26">
        <f>IF(N22="5",I22,0)</f>
        <v>0</v>
      </c>
      <c r="Z22" s="26">
        <f>IF(AD22=0,J22,0)</f>
        <v>0</v>
      </c>
      <c r="AA22" s="26">
        <f>IF(AD22=15,J22,0)</f>
        <v>0</v>
      </c>
      <c r="AB22" s="26">
        <f>IF(AD22=21,J22,0)</f>
        <v>0</v>
      </c>
      <c r="AD22" s="28">
        <v>21</v>
      </c>
      <c r="AE22" s="28">
        <f>G22*0.30787037037037</f>
        <v>0</v>
      </c>
      <c r="AF22" s="28">
        <f>G22*(1-0.30787037037037)</f>
        <v>0</v>
      </c>
      <c r="AM22" s="28">
        <f>F22*AE22</f>
        <v>0</v>
      </c>
      <c r="AN22" s="28">
        <f>F22*AF22</f>
        <v>0</v>
      </c>
      <c r="AO22" s="29" t="s">
        <v>312</v>
      </c>
      <c r="AP22" s="29" t="s">
        <v>329</v>
      </c>
      <c r="AQ22" s="17" t="s">
        <v>336</v>
      </c>
    </row>
    <row r="23" spans="1:43" ht="12">
      <c r="A23" s="25" t="s">
        <v>13</v>
      </c>
      <c r="B23" s="25" t="s">
        <v>85</v>
      </c>
      <c r="C23" s="25" t="s">
        <v>94</v>
      </c>
      <c r="D23" s="25" t="s">
        <v>187</v>
      </c>
      <c r="E23" s="25" t="s">
        <v>273</v>
      </c>
      <c r="F23" s="26">
        <v>32.8</v>
      </c>
      <c r="G23" s="26"/>
      <c r="H23" s="26"/>
      <c r="I23" s="26"/>
      <c r="J23" s="26"/>
      <c r="K23" s="26"/>
      <c r="L23" s="26"/>
      <c r="M23" s="27" t="s">
        <v>385</v>
      </c>
      <c r="N23" s="27" t="s">
        <v>7</v>
      </c>
      <c r="O23" s="26">
        <f>IF(N23="5",I23,0)</f>
        <v>0</v>
      </c>
      <c r="Z23" s="26">
        <f>IF(AD23=0,J23,0)</f>
        <v>0</v>
      </c>
      <c r="AA23" s="26">
        <f>IF(AD23=15,J23,0)</f>
        <v>0</v>
      </c>
      <c r="AB23" s="26">
        <f>IF(AD23=21,J23,0)</f>
        <v>0</v>
      </c>
      <c r="AD23" s="28">
        <v>21</v>
      </c>
      <c r="AE23" s="28">
        <f>G23*0.0685499058380415</f>
        <v>0</v>
      </c>
      <c r="AF23" s="28">
        <f>G23*(1-0.0685499058380415)</f>
        <v>0</v>
      </c>
      <c r="AM23" s="28">
        <f>F23*AE23</f>
        <v>0</v>
      </c>
      <c r="AN23" s="28">
        <f>F23*AF23</f>
        <v>0</v>
      </c>
      <c r="AO23" s="29" t="s">
        <v>312</v>
      </c>
      <c r="AP23" s="29" t="s">
        <v>329</v>
      </c>
      <c r="AQ23" s="17" t="s">
        <v>336</v>
      </c>
    </row>
    <row r="24" spans="1:43" ht="12">
      <c r="A24" s="25" t="s">
        <v>14</v>
      </c>
      <c r="B24" s="25" t="s">
        <v>85</v>
      </c>
      <c r="C24" s="25" t="s">
        <v>95</v>
      </c>
      <c r="D24" s="25" t="s">
        <v>188</v>
      </c>
      <c r="E24" s="25" t="s">
        <v>272</v>
      </c>
      <c r="F24" s="26">
        <v>4.32</v>
      </c>
      <c r="G24" s="26"/>
      <c r="H24" s="26"/>
      <c r="I24" s="26"/>
      <c r="J24" s="26"/>
      <c r="K24" s="26"/>
      <c r="L24" s="26"/>
      <c r="M24" s="27" t="s">
        <v>385</v>
      </c>
      <c r="N24" s="27" t="s">
        <v>7</v>
      </c>
      <c r="O24" s="26">
        <f>IF(N24="5",I24,0)</f>
        <v>0</v>
      </c>
      <c r="Z24" s="26">
        <f>IF(AD24=0,J24,0)</f>
        <v>0</v>
      </c>
      <c r="AA24" s="26">
        <f>IF(AD24=15,J24,0)</f>
        <v>0</v>
      </c>
      <c r="AB24" s="26">
        <f>IF(AD24=21,J24,0)</f>
        <v>0</v>
      </c>
      <c r="AD24" s="28">
        <v>21</v>
      </c>
      <c r="AE24" s="28">
        <f>G24*0.195199901028887</f>
        <v>0</v>
      </c>
      <c r="AF24" s="28">
        <f>G24*(1-0.195199901028887)</f>
        <v>0</v>
      </c>
      <c r="AM24" s="28">
        <f>F24*AE24</f>
        <v>0</v>
      </c>
      <c r="AN24" s="28">
        <f>F24*AF24</f>
        <v>0</v>
      </c>
      <c r="AO24" s="29" t="s">
        <v>312</v>
      </c>
      <c r="AP24" s="29" t="s">
        <v>329</v>
      </c>
      <c r="AQ24" s="17" t="s">
        <v>336</v>
      </c>
    </row>
    <row r="25" spans="1:43" ht="12">
      <c r="A25" s="25" t="s">
        <v>15</v>
      </c>
      <c r="B25" s="25" t="s">
        <v>85</v>
      </c>
      <c r="C25" s="25" t="s">
        <v>96</v>
      </c>
      <c r="D25" s="25" t="s">
        <v>189</v>
      </c>
      <c r="E25" s="25" t="s">
        <v>272</v>
      </c>
      <c r="F25" s="26">
        <v>14.1</v>
      </c>
      <c r="G25" s="26"/>
      <c r="H25" s="26"/>
      <c r="I25" s="26"/>
      <c r="J25" s="26"/>
      <c r="K25" s="26"/>
      <c r="L25" s="26"/>
      <c r="M25" s="27" t="s">
        <v>385</v>
      </c>
      <c r="N25" s="27" t="s">
        <v>7</v>
      </c>
      <c r="O25" s="26">
        <f>IF(N25="5",I25,0)</f>
        <v>0</v>
      </c>
      <c r="Z25" s="26">
        <f>IF(AD25=0,J25,0)</f>
        <v>0</v>
      </c>
      <c r="AA25" s="26">
        <f>IF(AD25=15,J25,0)</f>
        <v>0</v>
      </c>
      <c r="AB25" s="26">
        <f>IF(AD25=21,J25,0)</f>
        <v>0</v>
      </c>
      <c r="AD25" s="28">
        <v>21</v>
      </c>
      <c r="AE25" s="28">
        <f>G25*0.189690721649485</f>
        <v>0</v>
      </c>
      <c r="AF25" s="28">
        <f>G25*(1-0.189690721649485)</f>
        <v>0</v>
      </c>
      <c r="AM25" s="28">
        <f>F25*AE25</f>
        <v>0</v>
      </c>
      <c r="AN25" s="28">
        <f>F25*AF25</f>
        <v>0</v>
      </c>
      <c r="AO25" s="29" t="s">
        <v>312</v>
      </c>
      <c r="AP25" s="29" t="s">
        <v>329</v>
      </c>
      <c r="AQ25" s="17" t="s">
        <v>336</v>
      </c>
    </row>
    <row r="26" spans="1:37" ht="12">
      <c r="A26" s="22"/>
      <c r="B26" s="23" t="s">
        <v>85</v>
      </c>
      <c r="C26" s="23" t="s">
        <v>70</v>
      </c>
      <c r="D26" s="198" t="s">
        <v>190</v>
      </c>
      <c r="E26" s="199"/>
      <c r="F26" s="199"/>
      <c r="G26" s="199"/>
      <c r="H26" s="24">
        <f>SUM(H27:H28)</f>
        <v>0</v>
      </c>
      <c r="I26" s="24">
        <f>SUM(I27:I28)</f>
        <v>0</v>
      </c>
      <c r="J26" s="24">
        <f>H26+I26</f>
        <v>0</v>
      </c>
      <c r="K26" s="17"/>
      <c r="L26" s="24">
        <f>SUM(L27:L28)</f>
        <v>0</v>
      </c>
      <c r="M26" s="27"/>
      <c r="P26" s="24">
        <f>IF(Q26="PR",J26,SUM(O27:O28))</f>
        <v>0</v>
      </c>
      <c r="Q26" s="17" t="s">
        <v>299</v>
      </c>
      <c r="R26" s="24">
        <f>IF(Q26="HS",H26,0)</f>
        <v>0</v>
      </c>
      <c r="S26" s="24">
        <f>IF(Q26="HS",I26-P26,0)</f>
        <v>0</v>
      </c>
      <c r="T26" s="24">
        <f>IF(Q26="PS",H26,0)</f>
        <v>0</v>
      </c>
      <c r="U26" s="24">
        <f>IF(Q26="PS",I26-P26,0)</f>
        <v>0</v>
      </c>
      <c r="V26" s="24">
        <f>IF(Q26="MP",H26,0)</f>
        <v>0</v>
      </c>
      <c r="W26" s="24">
        <f>IF(Q26="MP",I26-P26,0)</f>
        <v>0</v>
      </c>
      <c r="X26" s="24">
        <f>IF(Q26="OM",H26,0)</f>
        <v>0</v>
      </c>
      <c r="Y26" s="17" t="s">
        <v>85</v>
      </c>
      <c r="AI26" s="24">
        <f>SUM(Z27:Z28)</f>
        <v>0</v>
      </c>
      <c r="AJ26" s="24">
        <f>SUM(AA27:AA28)</f>
        <v>0</v>
      </c>
      <c r="AK26" s="24">
        <f>SUM(AB27:AB28)</f>
        <v>0</v>
      </c>
    </row>
    <row r="27" spans="1:43" ht="12">
      <c r="A27" s="25" t="s">
        <v>16</v>
      </c>
      <c r="B27" s="25" t="s">
        <v>85</v>
      </c>
      <c r="C27" s="25" t="s">
        <v>97</v>
      </c>
      <c r="D27" s="25" t="s">
        <v>191</v>
      </c>
      <c r="E27" s="25" t="s">
        <v>274</v>
      </c>
      <c r="F27" s="26">
        <v>1</v>
      </c>
      <c r="G27" s="26"/>
      <c r="H27" s="26"/>
      <c r="I27" s="26"/>
      <c r="J27" s="26"/>
      <c r="K27" s="26"/>
      <c r="L27" s="26"/>
      <c r="M27" s="27" t="s">
        <v>385</v>
      </c>
      <c r="N27" s="27" t="s">
        <v>7</v>
      </c>
      <c r="O27" s="26">
        <f>IF(N27="5",I27,0)</f>
        <v>0</v>
      </c>
      <c r="Z27" s="26">
        <f>IF(AD27=0,J27,0)</f>
        <v>0</v>
      </c>
      <c r="AA27" s="26">
        <f>IF(AD27=15,J27,0)</f>
        <v>0</v>
      </c>
      <c r="AB27" s="26">
        <f>IF(AD27=21,J27,0)</f>
        <v>0</v>
      </c>
      <c r="AD27" s="28">
        <v>21</v>
      </c>
      <c r="AE27" s="28">
        <f>G27*0.566316579144786</f>
        <v>0</v>
      </c>
      <c r="AF27" s="28">
        <f>G27*(1-0.566316579144786)</f>
        <v>0</v>
      </c>
      <c r="AM27" s="28">
        <f>F27*AE27</f>
        <v>0</v>
      </c>
      <c r="AN27" s="28">
        <f>F27*AF27</f>
        <v>0</v>
      </c>
      <c r="AO27" s="29" t="s">
        <v>313</v>
      </c>
      <c r="AP27" s="29" t="s">
        <v>329</v>
      </c>
      <c r="AQ27" s="17" t="s">
        <v>336</v>
      </c>
    </row>
    <row r="28" spans="1:43" ht="12">
      <c r="A28" s="25" t="s">
        <v>17</v>
      </c>
      <c r="B28" s="25" t="s">
        <v>85</v>
      </c>
      <c r="C28" s="25" t="s">
        <v>98</v>
      </c>
      <c r="D28" s="25" t="s">
        <v>191</v>
      </c>
      <c r="E28" s="25" t="s">
        <v>274</v>
      </c>
      <c r="F28" s="26">
        <v>1</v>
      </c>
      <c r="G28" s="26"/>
      <c r="H28" s="26"/>
      <c r="I28" s="26"/>
      <c r="J28" s="26"/>
      <c r="K28" s="26"/>
      <c r="L28" s="26"/>
      <c r="M28" s="27" t="s">
        <v>385</v>
      </c>
      <c r="N28" s="27" t="s">
        <v>7</v>
      </c>
      <c r="O28" s="26">
        <f>IF(N28="5",I28,0)</f>
        <v>0</v>
      </c>
      <c r="Z28" s="26">
        <f>IF(AD28=0,J28,0)</f>
        <v>0</v>
      </c>
      <c r="AA28" s="26">
        <f>IF(AD28=15,J28,0)</f>
        <v>0</v>
      </c>
      <c r="AB28" s="26">
        <f>IF(AD28=21,J28,0)</f>
        <v>0</v>
      </c>
      <c r="AD28" s="28">
        <v>21</v>
      </c>
      <c r="AE28" s="28">
        <f>G28*0.540461049284579</f>
        <v>0</v>
      </c>
      <c r="AF28" s="28">
        <f>G28*(1-0.540461049284579)</f>
        <v>0</v>
      </c>
      <c r="AM28" s="28">
        <f>F28*AE28</f>
        <v>0</v>
      </c>
      <c r="AN28" s="28">
        <f>F28*AF28</f>
        <v>0</v>
      </c>
      <c r="AO28" s="29" t="s">
        <v>313</v>
      </c>
      <c r="AP28" s="29" t="s">
        <v>329</v>
      </c>
      <c r="AQ28" s="17" t="s">
        <v>336</v>
      </c>
    </row>
    <row r="29" spans="1:37" ht="12">
      <c r="A29" s="22"/>
      <c r="B29" s="23" t="s">
        <v>85</v>
      </c>
      <c r="C29" s="23" t="s">
        <v>99</v>
      </c>
      <c r="D29" s="198" t="s">
        <v>192</v>
      </c>
      <c r="E29" s="199"/>
      <c r="F29" s="199"/>
      <c r="G29" s="199"/>
      <c r="H29" s="24">
        <f>SUM(H30:H31)</f>
        <v>0</v>
      </c>
      <c r="I29" s="24">
        <f>SUM(I30:I31)</f>
        <v>0</v>
      </c>
      <c r="J29" s="24">
        <f>H29+I29</f>
        <v>0</v>
      </c>
      <c r="K29" s="17"/>
      <c r="L29" s="24">
        <f>SUM(L30:L31)</f>
        <v>0</v>
      </c>
      <c r="M29" s="27"/>
      <c r="P29" s="24">
        <f>IF(Q29="PR",J29,SUM(O30:O31))</f>
        <v>0</v>
      </c>
      <c r="Q29" s="17" t="s">
        <v>300</v>
      </c>
      <c r="R29" s="24">
        <f>IF(Q29="HS",H29,0)</f>
        <v>0</v>
      </c>
      <c r="S29" s="24">
        <f>IF(Q29="HS",I29-P29,0)</f>
        <v>0</v>
      </c>
      <c r="T29" s="24">
        <f>IF(Q29="PS",H29,0)</f>
        <v>0</v>
      </c>
      <c r="U29" s="24">
        <f>IF(Q29="PS",I29-P29,0)</f>
        <v>0</v>
      </c>
      <c r="V29" s="24">
        <f>IF(Q29="MP",H29,0)</f>
        <v>0</v>
      </c>
      <c r="W29" s="24">
        <f>IF(Q29="MP",I29-P29,0)</f>
        <v>0</v>
      </c>
      <c r="X29" s="24">
        <f>IF(Q29="OM",H29,0)</f>
        <v>0</v>
      </c>
      <c r="Y29" s="17" t="s">
        <v>85</v>
      </c>
      <c r="AI29" s="24">
        <f>SUM(Z30:Z31)</f>
        <v>0</v>
      </c>
      <c r="AJ29" s="24">
        <f>SUM(AA30:AA31)</f>
        <v>0</v>
      </c>
      <c r="AK29" s="24">
        <f>SUM(AB30:AB31)</f>
        <v>0</v>
      </c>
    </row>
    <row r="30" spans="1:43" ht="12">
      <c r="A30" s="25" t="s">
        <v>18</v>
      </c>
      <c r="B30" s="25" t="s">
        <v>85</v>
      </c>
      <c r="C30" s="25" t="s">
        <v>100</v>
      </c>
      <c r="D30" s="25" t="s">
        <v>486</v>
      </c>
      <c r="E30" s="25" t="s">
        <v>279</v>
      </c>
      <c r="F30" s="26">
        <v>5</v>
      </c>
      <c r="G30" s="26"/>
      <c r="H30" s="26"/>
      <c r="I30" s="26"/>
      <c r="J30" s="26"/>
      <c r="K30" s="26"/>
      <c r="L30" s="26"/>
      <c r="M30" s="27" t="s">
        <v>385</v>
      </c>
      <c r="N30" s="27" t="s">
        <v>7</v>
      </c>
      <c r="O30" s="26">
        <f>IF(N30="5",I30,0)</f>
        <v>0</v>
      </c>
      <c r="Z30" s="26">
        <f>IF(AD30=0,J30,0)</f>
        <v>0</v>
      </c>
      <c r="AA30" s="26">
        <f>IF(AD30=15,J30,0)</f>
        <v>0</v>
      </c>
      <c r="AB30" s="26">
        <f>IF(AD30=21,J30,0)</f>
        <v>0</v>
      </c>
      <c r="AD30" s="28">
        <v>21</v>
      </c>
      <c r="AE30" s="28">
        <f>G30*0.15</f>
        <v>0</v>
      </c>
      <c r="AF30" s="28">
        <f>G30*(1-0.15)</f>
        <v>0</v>
      </c>
      <c r="AM30" s="28">
        <f>F30*AE30</f>
        <v>0</v>
      </c>
      <c r="AN30" s="28">
        <f>F30*AF30</f>
        <v>0</v>
      </c>
      <c r="AO30" s="29" t="s">
        <v>314</v>
      </c>
      <c r="AP30" s="29" t="s">
        <v>330</v>
      </c>
      <c r="AQ30" s="17" t="s">
        <v>336</v>
      </c>
    </row>
    <row r="31" spans="1:43" ht="12">
      <c r="A31" s="25" t="s">
        <v>19</v>
      </c>
      <c r="B31" s="25" t="s">
        <v>85</v>
      </c>
      <c r="C31" s="25" t="s">
        <v>101</v>
      </c>
      <c r="D31" s="25" t="s">
        <v>485</v>
      </c>
      <c r="E31" s="25" t="s">
        <v>391</v>
      </c>
      <c r="F31" s="26">
        <v>1</v>
      </c>
      <c r="G31" s="26"/>
      <c r="H31" s="26"/>
      <c r="I31" s="26"/>
      <c r="J31" s="26"/>
      <c r="K31" s="26"/>
      <c r="L31" s="26"/>
      <c r="M31" s="52" t="s">
        <v>385</v>
      </c>
      <c r="N31" s="27" t="s">
        <v>11</v>
      </c>
      <c r="O31" s="26">
        <f>IF(N31="5",I31,0)</f>
        <v>0</v>
      </c>
      <c r="Z31" s="26">
        <f>IF(AD31=0,J31,0)</f>
        <v>0</v>
      </c>
      <c r="AA31" s="26">
        <f>IF(AD31=15,J31,0)</f>
        <v>0</v>
      </c>
      <c r="AB31" s="26">
        <f>IF(AD31=21,J31,0)</f>
        <v>0</v>
      </c>
      <c r="AD31" s="28">
        <v>21</v>
      </c>
      <c r="AE31" s="28">
        <f>G31*0</f>
        <v>0</v>
      </c>
      <c r="AF31" s="28">
        <f>G31*(1-0)</f>
        <v>0</v>
      </c>
      <c r="AM31" s="28">
        <f>F31*AE31</f>
        <v>0</v>
      </c>
      <c r="AN31" s="28">
        <f>F31*AF31</f>
        <v>0</v>
      </c>
      <c r="AO31" s="29" t="s">
        <v>314</v>
      </c>
      <c r="AP31" s="29" t="s">
        <v>330</v>
      </c>
      <c r="AQ31" s="17" t="s">
        <v>336</v>
      </c>
    </row>
    <row r="32" spans="1:37" ht="12">
      <c r="A32" s="22"/>
      <c r="B32" s="23" t="s">
        <v>85</v>
      </c>
      <c r="C32" s="23" t="s">
        <v>102</v>
      </c>
      <c r="D32" s="198" t="s">
        <v>195</v>
      </c>
      <c r="E32" s="199"/>
      <c r="F32" s="199"/>
      <c r="G32" s="199"/>
      <c r="H32" s="24">
        <f>SUM(H33:H36)</f>
        <v>0</v>
      </c>
      <c r="I32" s="24">
        <f>SUM(I33:I36)</f>
        <v>0</v>
      </c>
      <c r="J32" s="24">
        <f>H32+I32</f>
        <v>0</v>
      </c>
      <c r="K32" s="17"/>
      <c r="L32" s="24">
        <f>SUM(L33:L36)</f>
        <v>0</v>
      </c>
      <c r="M32" s="27"/>
      <c r="P32" s="24">
        <f>IF(Q32="PR",J32,SUM(O33:O36))</f>
        <v>0</v>
      </c>
      <c r="Q32" s="17" t="s">
        <v>300</v>
      </c>
      <c r="R32" s="24">
        <f>IF(Q32="HS",H32,0)</f>
        <v>0</v>
      </c>
      <c r="S32" s="24">
        <f>IF(Q32="HS",I32-P32,0)</f>
        <v>0</v>
      </c>
      <c r="T32" s="24">
        <f>IF(Q32="PS",H32,0)</f>
        <v>0</v>
      </c>
      <c r="U32" s="24">
        <f>IF(Q32="PS",I32-P32,0)</f>
        <v>0</v>
      </c>
      <c r="V32" s="24">
        <f>IF(Q32="MP",H32,0)</f>
        <v>0</v>
      </c>
      <c r="W32" s="24">
        <f>IF(Q32="MP",I32-P32,0)</f>
        <v>0</v>
      </c>
      <c r="X32" s="24">
        <f>IF(Q32="OM",H32,0)</f>
        <v>0</v>
      </c>
      <c r="Y32" s="17" t="s">
        <v>85</v>
      </c>
      <c r="AI32" s="24">
        <f>SUM(Z33:Z36)</f>
        <v>0</v>
      </c>
      <c r="AJ32" s="24">
        <f>SUM(AA33:AA36)</f>
        <v>0</v>
      </c>
      <c r="AK32" s="24">
        <f>SUM(AB33:AB36)</f>
        <v>0</v>
      </c>
    </row>
    <row r="33" spans="1:43" ht="12">
      <c r="A33" s="25" t="s">
        <v>20</v>
      </c>
      <c r="B33" s="25" t="s">
        <v>85</v>
      </c>
      <c r="C33" s="25" t="s">
        <v>103</v>
      </c>
      <c r="D33" s="25" t="s">
        <v>396</v>
      </c>
      <c r="E33" s="25" t="s">
        <v>274</v>
      </c>
      <c r="F33" s="26">
        <v>4</v>
      </c>
      <c r="G33" s="26"/>
      <c r="H33" s="26"/>
      <c r="I33" s="26"/>
      <c r="J33" s="26"/>
      <c r="K33" s="26"/>
      <c r="L33" s="26"/>
      <c r="M33" s="27" t="s">
        <v>385</v>
      </c>
      <c r="N33" s="27" t="s">
        <v>7</v>
      </c>
      <c r="O33" s="26">
        <f>IF(N33="5",I33,0)</f>
        <v>0</v>
      </c>
      <c r="Z33" s="26">
        <f>IF(AD33=0,J33,0)</f>
        <v>0</v>
      </c>
      <c r="AA33" s="26">
        <f>IF(AD33=15,J33,0)</f>
        <v>0</v>
      </c>
      <c r="AB33" s="26">
        <f>IF(AD33=21,J33,0)</f>
        <v>0</v>
      </c>
      <c r="AD33" s="28">
        <v>21</v>
      </c>
      <c r="AE33" s="28">
        <f>G33*0.881166881166881</f>
        <v>0</v>
      </c>
      <c r="AF33" s="28">
        <f>G33*(1-0.881166881166881)</f>
        <v>0</v>
      </c>
      <c r="AM33" s="28">
        <f>F33*AE33</f>
        <v>0</v>
      </c>
      <c r="AN33" s="28">
        <f>F33*AF33</f>
        <v>0</v>
      </c>
      <c r="AO33" s="29" t="s">
        <v>315</v>
      </c>
      <c r="AP33" s="29" t="s">
        <v>330</v>
      </c>
      <c r="AQ33" s="17" t="s">
        <v>336</v>
      </c>
    </row>
    <row r="34" spans="1:43" ht="12">
      <c r="A34" s="25" t="s">
        <v>21</v>
      </c>
      <c r="B34" s="25" t="s">
        <v>85</v>
      </c>
      <c r="C34" s="25" t="s">
        <v>104</v>
      </c>
      <c r="D34" s="25" t="s">
        <v>197</v>
      </c>
      <c r="E34" s="25" t="s">
        <v>274</v>
      </c>
      <c r="F34" s="26">
        <v>4</v>
      </c>
      <c r="G34" s="26"/>
      <c r="H34" s="26"/>
      <c r="I34" s="26"/>
      <c r="J34" s="26"/>
      <c r="K34" s="26"/>
      <c r="L34" s="26"/>
      <c r="M34" s="27" t="s">
        <v>385</v>
      </c>
      <c r="N34" s="27" t="s">
        <v>7</v>
      </c>
      <c r="O34" s="26">
        <f>IF(N34="5",I34,0)</f>
        <v>0</v>
      </c>
      <c r="Z34" s="26">
        <f>IF(AD34=0,J34,0)</f>
        <v>0</v>
      </c>
      <c r="AA34" s="26">
        <f>IF(AD34=15,J34,0)</f>
        <v>0</v>
      </c>
      <c r="AB34" s="26">
        <f>IF(AD34=21,J34,0)</f>
        <v>0</v>
      </c>
      <c r="AD34" s="28">
        <v>21</v>
      </c>
      <c r="AE34" s="28">
        <f>G34*0.681861575178997</f>
        <v>0</v>
      </c>
      <c r="AF34" s="28">
        <f>G34*(1-0.681861575178997)</f>
        <v>0</v>
      </c>
      <c r="AM34" s="28">
        <f>F34*AE34</f>
        <v>0</v>
      </c>
      <c r="AN34" s="28">
        <f>F34*AF34</f>
        <v>0</v>
      </c>
      <c r="AO34" s="29" t="s">
        <v>315</v>
      </c>
      <c r="AP34" s="29" t="s">
        <v>330</v>
      </c>
      <c r="AQ34" s="17" t="s">
        <v>336</v>
      </c>
    </row>
    <row r="35" spans="1:43" ht="12">
      <c r="A35" s="25" t="s">
        <v>22</v>
      </c>
      <c r="B35" s="25" t="s">
        <v>85</v>
      </c>
      <c r="C35" s="25" t="s">
        <v>105</v>
      </c>
      <c r="D35" s="25" t="s">
        <v>198</v>
      </c>
      <c r="E35" s="25" t="s">
        <v>274</v>
      </c>
      <c r="F35" s="26">
        <v>4</v>
      </c>
      <c r="G35" s="26"/>
      <c r="H35" s="26"/>
      <c r="I35" s="26"/>
      <c r="J35" s="26"/>
      <c r="K35" s="26"/>
      <c r="L35" s="26"/>
      <c r="M35" s="27" t="s">
        <v>385</v>
      </c>
      <c r="N35" s="27" t="s">
        <v>7</v>
      </c>
      <c r="O35" s="26">
        <f>IF(N35="5",I35,0)</f>
        <v>0</v>
      </c>
      <c r="Z35" s="26">
        <f>IF(AD35=0,J35,0)</f>
        <v>0</v>
      </c>
      <c r="AA35" s="26">
        <f>IF(AD35=15,J35,0)</f>
        <v>0</v>
      </c>
      <c r="AB35" s="26">
        <f>IF(AD35=21,J35,0)</f>
        <v>0</v>
      </c>
      <c r="AD35" s="28">
        <v>21</v>
      </c>
      <c r="AE35" s="28">
        <f>G35*0.585305618440008</f>
        <v>0</v>
      </c>
      <c r="AF35" s="28">
        <f>G35*(1-0.585305618440008)</f>
        <v>0</v>
      </c>
      <c r="AM35" s="28">
        <f>F35*AE35</f>
        <v>0</v>
      </c>
      <c r="AN35" s="28">
        <f>F35*AF35</f>
        <v>0</v>
      </c>
      <c r="AO35" s="29" t="s">
        <v>315</v>
      </c>
      <c r="AP35" s="29" t="s">
        <v>330</v>
      </c>
      <c r="AQ35" s="17" t="s">
        <v>336</v>
      </c>
    </row>
    <row r="36" spans="1:43" ht="12">
      <c r="A36" s="25" t="s">
        <v>23</v>
      </c>
      <c r="B36" s="25" t="s">
        <v>85</v>
      </c>
      <c r="C36" s="25" t="s">
        <v>106</v>
      </c>
      <c r="D36" s="25" t="s">
        <v>199</v>
      </c>
      <c r="E36" s="25" t="s">
        <v>391</v>
      </c>
      <c r="F36" s="26">
        <v>1</v>
      </c>
      <c r="G36" s="26"/>
      <c r="H36" s="26"/>
      <c r="I36" s="26"/>
      <c r="J36" s="26"/>
      <c r="K36" s="26"/>
      <c r="L36" s="26"/>
      <c r="M36" s="27" t="s">
        <v>385</v>
      </c>
      <c r="N36" s="27" t="s">
        <v>11</v>
      </c>
      <c r="O36" s="26">
        <f>IF(N36="5",I36,0)</f>
        <v>0</v>
      </c>
      <c r="Z36" s="26">
        <f>IF(AD36=0,J36,0)</f>
        <v>0</v>
      </c>
      <c r="AA36" s="26">
        <f>IF(AD36=15,J36,0)</f>
        <v>0</v>
      </c>
      <c r="AB36" s="26">
        <f>IF(AD36=21,J36,0)</f>
        <v>0</v>
      </c>
      <c r="AD36" s="28">
        <v>21</v>
      </c>
      <c r="AE36" s="28">
        <f>G36*0</f>
        <v>0</v>
      </c>
      <c r="AF36" s="28">
        <f>G36*(1-0)</f>
        <v>0</v>
      </c>
      <c r="AM36" s="28">
        <f>F36*AE36</f>
        <v>0</v>
      </c>
      <c r="AN36" s="28">
        <f>F36*AF36</f>
        <v>0</v>
      </c>
      <c r="AO36" s="29" t="s">
        <v>315</v>
      </c>
      <c r="AP36" s="29" t="s">
        <v>330</v>
      </c>
      <c r="AQ36" s="17" t="s">
        <v>336</v>
      </c>
    </row>
    <row r="37" spans="1:37" ht="12">
      <c r="A37" s="22"/>
      <c r="B37" s="23" t="s">
        <v>85</v>
      </c>
      <c r="C37" s="23" t="s">
        <v>107</v>
      </c>
      <c r="D37" s="198" t="s">
        <v>200</v>
      </c>
      <c r="E37" s="199"/>
      <c r="F37" s="199"/>
      <c r="G37" s="199"/>
      <c r="H37" s="24">
        <f>SUM(H38:H43)</f>
        <v>0</v>
      </c>
      <c r="I37" s="24">
        <f>SUM(I38:I43)</f>
        <v>0</v>
      </c>
      <c r="J37" s="24">
        <f>H37+I37</f>
        <v>0</v>
      </c>
      <c r="K37" s="17"/>
      <c r="L37" s="24">
        <f>SUM(L38:L43)</f>
        <v>0</v>
      </c>
      <c r="M37" s="27"/>
      <c r="P37" s="24">
        <f>IF(Q37="PR",J37,SUM(O38:O43))</f>
        <v>0</v>
      </c>
      <c r="Q37" s="17" t="s">
        <v>300</v>
      </c>
      <c r="R37" s="24">
        <f>IF(Q37="HS",H37,0)</f>
        <v>0</v>
      </c>
      <c r="S37" s="24">
        <f>IF(Q37="HS",I37-P37,0)</f>
        <v>0</v>
      </c>
      <c r="T37" s="24">
        <f>IF(Q37="PS",H37,0)</f>
        <v>0</v>
      </c>
      <c r="U37" s="24">
        <f>IF(Q37="PS",I37-P37,0)</f>
        <v>0</v>
      </c>
      <c r="V37" s="24">
        <f>IF(Q37="MP",H37,0)</f>
        <v>0</v>
      </c>
      <c r="W37" s="24">
        <f>IF(Q37="MP",I37-P37,0)</f>
        <v>0</v>
      </c>
      <c r="X37" s="24">
        <f>IF(Q37="OM",H37,0)</f>
        <v>0</v>
      </c>
      <c r="Y37" s="17" t="s">
        <v>85</v>
      </c>
      <c r="AI37" s="24">
        <f>SUM(Z38:Z43)</f>
        <v>0</v>
      </c>
      <c r="AJ37" s="24">
        <f>SUM(AA38:AA43)</f>
        <v>0</v>
      </c>
      <c r="AK37" s="24">
        <f>SUM(AB38:AB43)</f>
        <v>0</v>
      </c>
    </row>
    <row r="38" spans="1:43" ht="12">
      <c r="A38" s="25" t="s">
        <v>24</v>
      </c>
      <c r="B38" s="25" t="s">
        <v>85</v>
      </c>
      <c r="C38" s="25" t="s">
        <v>108</v>
      </c>
      <c r="D38" s="25" t="s">
        <v>201</v>
      </c>
      <c r="E38" s="25" t="s">
        <v>274</v>
      </c>
      <c r="F38" s="26">
        <v>4</v>
      </c>
      <c r="G38" s="26"/>
      <c r="H38" s="26"/>
      <c r="I38" s="26"/>
      <c r="J38" s="26"/>
      <c r="K38" s="26"/>
      <c r="L38" s="26"/>
      <c r="M38" s="27" t="s">
        <v>385</v>
      </c>
      <c r="N38" s="27" t="s">
        <v>7</v>
      </c>
      <c r="O38" s="26">
        <f aca="true" t="shared" si="0" ref="O38:O43">IF(N38="5",I38,0)</f>
        <v>0</v>
      </c>
      <c r="Z38" s="26">
        <f aca="true" t="shared" si="1" ref="Z38:Z43">IF(AD38=0,J38,0)</f>
        <v>0</v>
      </c>
      <c r="AA38" s="26">
        <f aca="true" t="shared" si="2" ref="AA38:AA43">IF(AD38=15,J38,0)</f>
        <v>0</v>
      </c>
      <c r="AB38" s="26">
        <f aca="true" t="shared" si="3" ref="AB38:AB43">IF(AD38=21,J38,0)</f>
        <v>0</v>
      </c>
      <c r="AD38" s="28">
        <v>21</v>
      </c>
      <c r="AE38" s="28">
        <f>G38*0.954584813958365</f>
        <v>0</v>
      </c>
      <c r="AF38" s="28">
        <f>G38*(1-0.954584813958365)</f>
        <v>0</v>
      </c>
      <c r="AM38" s="28">
        <f aca="true" t="shared" si="4" ref="AM38:AM43">F38*AE38</f>
        <v>0</v>
      </c>
      <c r="AN38" s="28">
        <f aca="true" t="shared" si="5" ref="AN38:AN43">F38*AF38</f>
        <v>0</v>
      </c>
      <c r="AO38" s="29" t="s">
        <v>316</v>
      </c>
      <c r="AP38" s="29" t="s">
        <v>330</v>
      </c>
      <c r="AQ38" s="17" t="s">
        <v>336</v>
      </c>
    </row>
    <row r="39" spans="1:43" ht="12">
      <c r="A39" s="25" t="s">
        <v>25</v>
      </c>
      <c r="B39" s="25" t="s">
        <v>85</v>
      </c>
      <c r="C39" s="25" t="s">
        <v>109</v>
      </c>
      <c r="D39" s="25" t="s">
        <v>202</v>
      </c>
      <c r="E39" s="25" t="s">
        <v>274</v>
      </c>
      <c r="F39" s="26">
        <v>4</v>
      </c>
      <c r="G39" s="26"/>
      <c r="H39" s="26"/>
      <c r="I39" s="26"/>
      <c r="J39" s="26"/>
      <c r="K39" s="26"/>
      <c r="L39" s="26"/>
      <c r="M39" s="27" t="s">
        <v>385</v>
      </c>
      <c r="N39" s="27" t="s">
        <v>7</v>
      </c>
      <c r="O39" s="26">
        <f t="shared" si="0"/>
        <v>0</v>
      </c>
      <c r="Z39" s="26">
        <f t="shared" si="1"/>
        <v>0</v>
      </c>
      <c r="AA39" s="26">
        <f t="shared" si="2"/>
        <v>0</v>
      </c>
      <c r="AB39" s="26">
        <f t="shared" si="3"/>
        <v>0</v>
      </c>
      <c r="AD39" s="28">
        <v>21</v>
      </c>
      <c r="AE39" s="28">
        <f>G39*0.0131073446327684</f>
        <v>0</v>
      </c>
      <c r="AF39" s="28">
        <f>G39*(1-0.0131073446327684)</f>
        <v>0</v>
      </c>
      <c r="AM39" s="28">
        <f t="shared" si="4"/>
        <v>0</v>
      </c>
      <c r="AN39" s="28">
        <f t="shared" si="5"/>
        <v>0</v>
      </c>
      <c r="AO39" s="29" t="s">
        <v>316</v>
      </c>
      <c r="AP39" s="29" t="s">
        <v>330</v>
      </c>
      <c r="AQ39" s="17" t="s">
        <v>336</v>
      </c>
    </row>
    <row r="40" spans="1:43" ht="12">
      <c r="A40" s="25" t="s">
        <v>26</v>
      </c>
      <c r="B40" s="25" t="s">
        <v>85</v>
      </c>
      <c r="C40" s="25" t="s">
        <v>110</v>
      </c>
      <c r="D40" s="25" t="s">
        <v>203</v>
      </c>
      <c r="E40" s="25" t="s">
        <v>274</v>
      </c>
      <c r="F40" s="26">
        <v>4</v>
      </c>
      <c r="G40" s="26"/>
      <c r="H40" s="26"/>
      <c r="I40" s="26"/>
      <c r="J40" s="26"/>
      <c r="K40" s="26"/>
      <c r="L40" s="26"/>
      <c r="M40" s="27" t="s">
        <v>385</v>
      </c>
      <c r="N40" s="27" t="s">
        <v>7</v>
      </c>
      <c r="O40" s="26">
        <f t="shared" si="0"/>
        <v>0</v>
      </c>
      <c r="Z40" s="26">
        <f t="shared" si="1"/>
        <v>0</v>
      </c>
      <c r="AA40" s="26">
        <f t="shared" si="2"/>
        <v>0</v>
      </c>
      <c r="AB40" s="26">
        <f t="shared" si="3"/>
        <v>0</v>
      </c>
      <c r="AD40" s="28">
        <v>21</v>
      </c>
      <c r="AE40" s="28">
        <f>G40*0</f>
        <v>0</v>
      </c>
      <c r="AF40" s="28">
        <f>G40*(1-0)</f>
        <v>0</v>
      </c>
      <c r="AM40" s="28">
        <f t="shared" si="4"/>
        <v>0</v>
      </c>
      <c r="AN40" s="28">
        <f t="shared" si="5"/>
        <v>0</v>
      </c>
      <c r="AO40" s="29" t="s">
        <v>316</v>
      </c>
      <c r="AP40" s="29" t="s">
        <v>330</v>
      </c>
      <c r="AQ40" s="17" t="s">
        <v>336</v>
      </c>
    </row>
    <row r="41" spans="1:43" ht="12">
      <c r="A41" s="25" t="s">
        <v>27</v>
      </c>
      <c r="B41" s="25" t="s">
        <v>85</v>
      </c>
      <c r="C41" s="25" t="s">
        <v>111</v>
      </c>
      <c r="D41" s="25" t="s">
        <v>204</v>
      </c>
      <c r="E41" s="25" t="s">
        <v>276</v>
      </c>
      <c r="F41" s="26">
        <v>0.05</v>
      </c>
      <c r="G41" s="26"/>
      <c r="H41" s="26"/>
      <c r="I41" s="26"/>
      <c r="J41" s="26"/>
      <c r="K41" s="26"/>
      <c r="L41" s="26"/>
      <c r="M41" s="27" t="s">
        <v>385</v>
      </c>
      <c r="N41" s="27" t="s">
        <v>7</v>
      </c>
      <c r="O41" s="26">
        <f t="shared" si="0"/>
        <v>0</v>
      </c>
      <c r="Z41" s="26">
        <f t="shared" si="1"/>
        <v>0</v>
      </c>
      <c r="AA41" s="26">
        <f t="shared" si="2"/>
        <v>0</v>
      </c>
      <c r="AB41" s="26">
        <f t="shared" si="3"/>
        <v>0</v>
      </c>
      <c r="AD41" s="28">
        <v>21</v>
      </c>
      <c r="AE41" s="28">
        <f>G41*0</f>
        <v>0</v>
      </c>
      <c r="AF41" s="28">
        <f>G41*(1-0)</f>
        <v>0</v>
      </c>
      <c r="AM41" s="28">
        <f t="shared" si="4"/>
        <v>0</v>
      </c>
      <c r="AN41" s="28">
        <f t="shared" si="5"/>
        <v>0</v>
      </c>
      <c r="AO41" s="29" t="s">
        <v>316</v>
      </c>
      <c r="AP41" s="29" t="s">
        <v>330</v>
      </c>
      <c r="AQ41" s="17" t="s">
        <v>336</v>
      </c>
    </row>
    <row r="42" spans="1:43" ht="12">
      <c r="A42" s="25" t="s">
        <v>28</v>
      </c>
      <c r="B42" s="25" t="s">
        <v>85</v>
      </c>
      <c r="C42" s="25" t="s">
        <v>112</v>
      </c>
      <c r="D42" s="25" t="s">
        <v>389</v>
      </c>
      <c r="E42" s="25" t="s">
        <v>274</v>
      </c>
      <c r="F42" s="26">
        <v>5</v>
      </c>
      <c r="G42" s="26"/>
      <c r="H42" s="26"/>
      <c r="I42" s="26"/>
      <c r="J42" s="26"/>
      <c r="K42" s="26"/>
      <c r="L42" s="26"/>
      <c r="M42" s="27" t="s">
        <v>385</v>
      </c>
      <c r="N42" s="27" t="s">
        <v>7</v>
      </c>
      <c r="O42" s="26">
        <f t="shared" si="0"/>
        <v>0</v>
      </c>
      <c r="Z42" s="26">
        <f t="shared" si="1"/>
        <v>0</v>
      </c>
      <c r="AA42" s="26">
        <f t="shared" si="2"/>
        <v>0</v>
      </c>
      <c r="AB42" s="26">
        <f t="shared" si="3"/>
        <v>0</v>
      </c>
      <c r="AD42" s="28">
        <v>21</v>
      </c>
      <c r="AE42" s="28">
        <f>G42*0.130553191489362</f>
        <v>0</v>
      </c>
      <c r="AF42" s="28">
        <f>G42*(1-0.130553191489362)</f>
        <v>0</v>
      </c>
      <c r="AM42" s="28">
        <f t="shared" si="4"/>
        <v>0</v>
      </c>
      <c r="AN42" s="28">
        <f t="shared" si="5"/>
        <v>0</v>
      </c>
      <c r="AO42" s="29" t="s">
        <v>316</v>
      </c>
      <c r="AP42" s="29" t="s">
        <v>330</v>
      </c>
      <c r="AQ42" s="17" t="s">
        <v>336</v>
      </c>
    </row>
    <row r="43" spans="1:43" ht="12">
      <c r="A43" s="25" t="s">
        <v>29</v>
      </c>
      <c r="B43" s="25" t="s">
        <v>85</v>
      </c>
      <c r="C43" s="25" t="s">
        <v>113</v>
      </c>
      <c r="D43" s="25" t="s">
        <v>206</v>
      </c>
      <c r="E43" s="25" t="s">
        <v>391</v>
      </c>
      <c r="F43" s="26">
        <v>1</v>
      </c>
      <c r="G43" s="26"/>
      <c r="H43" s="26"/>
      <c r="I43" s="26"/>
      <c r="J43" s="26"/>
      <c r="K43" s="26"/>
      <c r="L43" s="26"/>
      <c r="M43" s="27" t="s">
        <v>385</v>
      </c>
      <c r="N43" s="27" t="s">
        <v>11</v>
      </c>
      <c r="O43" s="26">
        <f t="shared" si="0"/>
        <v>0</v>
      </c>
      <c r="Z43" s="26">
        <f t="shared" si="1"/>
        <v>0</v>
      </c>
      <c r="AA43" s="26">
        <f t="shared" si="2"/>
        <v>0</v>
      </c>
      <c r="AB43" s="26">
        <f t="shared" si="3"/>
        <v>0</v>
      </c>
      <c r="AD43" s="28">
        <v>21</v>
      </c>
      <c r="AE43" s="28">
        <f>G43*0</f>
        <v>0</v>
      </c>
      <c r="AF43" s="28">
        <f>G43*(1-0)</f>
        <v>0</v>
      </c>
      <c r="AM43" s="28">
        <f t="shared" si="4"/>
        <v>0</v>
      </c>
      <c r="AN43" s="28">
        <f t="shared" si="5"/>
        <v>0</v>
      </c>
      <c r="AO43" s="29" t="s">
        <v>316</v>
      </c>
      <c r="AP43" s="29" t="s">
        <v>330</v>
      </c>
      <c r="AQ43" s="17" t="s">
        <v>336</v>
      </c>
    </row>
    <row r="44" spans="1:37" ht="12">
      <c r="A44" s="22"/>
      <c r="B44" s="23" t="s">
        <v>85</v>
      </c>
      <c r="C44" s="23" t="s">
        <v>114</v>
      </c>
      <c r="D44" s="198" t="s">
        <v>207</v>
      </c>
      <c r="E44" s="199"/>
      <c r="F44" s="199"/>
      <c r="G44" s="199"/>
      <c r="H44" s="24">
        <f>SUM(H45:H55)</f>
        <v>0</v>
      </c>
      <c r="I44" s="24">
        <f>SUM(I45:I55)</f>
        <v>0</v>
      </c>
      <c r="J44" s="24">
        <f>H44+I44</f>
        <v>0</v>
      </c>
      <c r="K44" s="17"/>
      <c r="L44" s="24">
        <f>SUM(L45:L55)</f>
        <v>0</v>
      </c>
      <c r="M44" s="27"/>
      <c r="P44" s="24">
        <f>IF(Q44="PR",J44,SUM(O45:O55))</f>
        <v>0</v>
      </c>
      <c r="Q44" s="17" t="s">
        <v>300</v>
      </c>
      <c r="R44" s="24">
        <f>IF(Q44="HS",H44,0)</f>
        <v>0</v>
      </c>
      <c r="S44" s="24">
        <f>IF(Q44="HS",I44-P44,0)</f>
        <v>0</v>
      </c>
      <c r="T44" s="24">
        <f>IF(Q44="PS",H44,0)</f>
        <v>0</v>
      </c>
      <c r="U44" s="24">
        <f>IF(Q44="PS",I44-P44,0)</f>
        <v>0</v>
      </c>
      <c r="V44" s="24">
        <f>IF(Q44="MP",H44,0)</f>
        <v>0</v>
      </c>
      <c r="W44" s="24">
        <f>IF(Q44="MP",I44-P44,0)</f>
        <v>0</v>
      </c>
      <c r="X44" s="24">
        <f>IF(Q44="OM",H44,0)</f>
        <v>0</v>
      </c>
      <c r="Y44" s="17" t="s">
        <v>85</v>
      </c>
      <c r="AI44" s="24">
        <f>SUM(Z45:Z55)</f>
        <v>0</v>
      </c>
      <c r="AJ44" s="24">
        <f>SUM(AA45:AA55)</f>
        <v>0</v>
      </c>
      <c r="AK44" s="24">
        <f>SUM(AB45:AB55)</f>
        <v>0</v>
      </c>
    </row>
    <row r="45" spans="1:43" ht="12">
      <c r="A45" s="25" t="s">
        <v>30</v>
      </c>
      <c r="B45" s="25" t="s">
        <v>85</v>
      </c>
      <c r="C45" s="25" t="s">
        <v>115</v>
      </c>
      <c r="D45" s="25" t="s">
        <v>208</v>
      </c>
      <c r="E45" s="25" t="s">
        <v>272</v>
      </c>
      <c r="F45" s="26">
        <v>60.04</v>
      </c>
      <c r="G45" s="26"/>
      <c r="H45" s="26"/>
      <c r="I45" s="26"/>
      <c r="J45" s="26"/>
      <c r="K45" s="26"/>
      <c r="L45" s="26"/>
      <c r="M45" s="27" t="s">
        <v>385</v>
      </c>
      <c r="N45" s="27" t="s">
        <v>7</v>
      </c>
      <c r="O45" s="26">
        <f aca="true" t="shared" si="6" ref="O45:O55">IF(N45="5",I45,0)</f>
        <v>0</v>
      </c>
      <c r="Z45" s="26">
        <f aca="true" t="shared" si="7" ref="Z45:Z55">IF(AD45=0,J45,0)</f>
        <v>0</v>
      </c>
      <c r="AA45" s="26">
        <f aca="true" t="shared" si="8" ref="AA45:AA55">IF(AD45=15,J45,0)</f>
        <v>0</v>
      </c>
      <c r="AB45" s="26">
        <f aca="true" t="shared" si="9" ref="AB45:AB55">IF(AD45=21,J45,0)</f>
        <v>0</v>
      </c>
      <c r="AD45" s="28">
        <v>21</v>
      </c>
      <c r="AE45" s="28">
        <f>G45*0</f>
        <v>0</v>
      </c>
      <c r="AF45" s="28">
        <f>G45*(1-0)</f>
        <v>0</v>
      </c>
      <c r="AM45" s="28">
        <f aca="true" t="shared" si="10" ref="AM45:AM55">F45*AE45</f>
        <v>0</v>
      </c>
      <c r="AN45" s="28">
        <f aca="true" t="shared" si="11" ref="AN45:AN55">F45*AF45</f>
        <v>0</v>
      </c>
      <c r="AO45" s="29" t="s">
        <v>317</v>
      </c>
      <c r="AP45" s="29" t="s">
        <v>331</v>
      </c>
      <c r="AQ45" s="17" t="s">
        <v>336</v>
      </c>
    </row>
    <row r="46" spans="1:43" ht="12">
      <c r="A46" s="25" t="s">
        <v>31</v>
      </c>
      <c r="B46" s="25" t="s">
        <v>85</v>
      </c>
      <c r="C46" s="25" t="s">
        <v>116</v>
      </c>
      <c r="D46" s="25" t="s">
        <v>209</v>
      </c>
      <c r="E46" s="25" t="s">
        <v>272</v>
      </c>
      <c r="F46" s="26">
        <v>117.7</v>
      </c>
      <c r="G46" s="26"/>
      <c r="H46" s="26"/>
      <c r="I46" s="26"/>
      <c r="J46" s="26"/>
      <c r="K46" s="26"/>
      <c r="L46" s="26"/>
      <c r="M46" s="27" t="s">
        <v>385</v>
      </c>
      <c r="N46" s="27" t="s">
        <v>7</v>
      </c>
      <c r="O46" s="26">
        <f t="shared" si="6"/>
        <v>0</v>
      </c>
      <c r="Z46" s="26">
        <f t="shared" si="7"/>
        <v>0</v>
      </c>
      <c r="AA46" s="26">
        <f t="shared" si="8"/>
        <v>0</v>
      </c>
      <c r="AB46" s="26">
        <f t="shared" si="9"/>
        <v>0</v>
      </c>
      <c r="AD46" s="28">
        <v>21</v>
      </c>
      <c r="AE46" s="28">
        <f>G46*0</f>
        <v>0</v>
      </c>
      <c r="AF46" s="28">
        <f>G46*(1-0)</f>
        <v>0</v>
      </c>
      <c r="AM46" s="28">
        <f t="shared" si="10"/>
        <v>0</v>
      </c>
      <c r="AN46" s="28">
        <f t="shared" si="11"/>
        <v>0</v>
      </c>
      <c r="AO46" s="29" t="s">
        <v>317</v>
      </c>
      <c r="AP46" s="29" t="s">
        <v>331</v>
      </c>
      <c r="AQ46" s="17" t="s">
        <v>336</v>
      </c>
    </row>
    <row r="47" spans="1:43" ht="12">
      <c r="A47" s="25" t="s">
        <v>32</v>
      </c>
      <c r="B47" s="25" t="s">
        <v>85</v>
      </c>
      <c r="C47" s="25" t="s">
        <v>117</v>
      </c>
      <c r="D47" s="25" t="s">
        <v>210</v>
      </c>
      <c r="E47" s="25" t="s">
        <v>273</v>
      </c>
      <c r="F47" s="26">
        <v>43.05</v>
      </c>
      <c r="G47" s="26"/>
      <c r="H47" s="26"/>
      <c r="I47" s="26"/>
      <c r="J47" s="26"/>
      <c r="K47" s="26"/>
      <c r="L47" s="26"/>
      <c r="M47" s="27" t="s">
        <v>385</v>
      </c>
      <c r="N47" s="27" t="s">
        <v>7</v>
      </c>
      <c r="O47" s="26">
        <f t="shared" si="6"/>
        <v>0</v>
      </c>
      <c r="Z47" s="26">
        <f t="shared" si="7"/>
        <v>0</v>
      </c>
      <c r="AA47" s="26">
        <f t="shared" si="8"/>
        <v>0</v>
      </c>
      <c r="AB47" s="26">
        <f t="shared" si="9"/>
        <v>0</v>
      </c>
      <c r="AD47" s="28">
        <v>21</v>
      </c>
      <c r="AE47" s="28">
        <f>G47*0.203664848230522</f>
        <v>0</v>
      </c>
      <c r="AF47" s="28">
        <f>G47*(1-0.203664848230522)</f>
        <v>0</v>
      </c>
      <c r="AM47" s="28">
        <f t="shared" si="10"/>
        <v>0</v>
      </c>
      <c r="AN47" s="28">
        <f t="shared" si="11"/>
        <v>0</v>
      </c>
      <c r="AO47" s="29" t="s">
        <v>317</v>
      </c>
      <c r="AP47" s="29" t="s">
        <v>331</v>
      </c>
      <c r="AQ47" s="17" t="s">
        <v>336</v>
      </c>
    </row>
    <row r="48" spans="1:43" ht="12">
      <c r="A48" s="25" t="s">
        <v>33</v>
      </c>
      <c r="B48" s="25" t="s">
        <v>85</v>
      </c>
      <c r="C48" s="25" t="s">
        <v>118</v>
      </c>
      <c r="D48" s="25" t="s">
        <v>211</v>
      </c>
      <c r="E48" s="25" t="s">
        <v>274</v>
      </c>
      <c r="F48" s="26">
        <v>2</v>
      </c>
      <c r="G48" s="26"/>
      <c r="H48" s="26"/>
      <c r="I48" s="26"/>
      <c r="J48" s="26"/>
      <c r="K48" s="26"/>
      <c r="L48" s="26"/>
      <c r="M48" s="27" t="s">
        <v>385</v>
      </c>
      <c r="N48" s="27" t="s">
        <v>7</v>
      </c>
      <c r="O48" s="26">
        <f t="shared" si="6"/>
        <v>0</v>
      </c>
      <c r="Z48" s="26">
        <f t="shared" si="7"/>
        <v>0</v>
      </c>
      <c r="AA48" s="26">
        <f t="shared" si="8"/>
        <v>0</v>
      </c>
      <c r="AB48" s="26">
        <f t="shared" si="9"/>
        <v>0</v>
      </c>
      <c r="AD48" s="28">
        <v>21</v>
      </c>
      <c r="AE48" s="28">
        <f>G48*0</f>
        <v>0</v>
      </c>
      <c r="AF48" s="28">
        <f>G48*(1-0)</f>
        <v>0</v>
      </c>
      <c r="AM48" s="28">
        <f t="shared" si="10"/>
        <v>0</v>
      </c>
      <c r="AN48" s="28">
        <f t="shared" si="11"/>
        <v>0</v>
      </c>
      <c r="AO48" s="29" t="s">
        <v>317</v>
      </c>
      <c r="AP48" s="29" t="s">
        <v>331</v>
      </c>
      <c r="AQ48" s="17" t="s">
        <v>336</v>
      </c>
    </row>
    <row r="49" spans="1:43" ht="12">
      <c r="A49" s="34" t="s">
        <v>34</v>
      </c>
      <c r="B49" s="34" t="s">
        <v>85</v>
      </c>
      <c r="C49" s="34" t="s">
        <v>119</v>
      </c>
      <c r="D49" s="34" t="s">
        <v>212</v>
      </c>
      <c r="E49" s="34" t="s">
        <v>274</v>
      </c>
      <c r="F49" s="35">
        <v>1</v>
      </c>
      <c r="G49" s="35"/>
      <c r="H49" s="35"/>
      <c r="I49" s="35"/>
      <c r="J49" s="35"/>
      <c r="K49" s="35"/>
      <c r="L49" s="35"/>
      <c r="M49" s="27" t="s">
        <v>385</v>
      </c>
      <c r="N49" s="36" t="s">
        <v>296</v>
      </c>
      <c r="O49" s="35">
        <f t="shared" si="6"/>
        <v>0</v>
      </c>
      <c r="Z49" s="35">
        <f t="shared" si="7"/>
        <v>0</v>
      </c>
      <c r="AA49" s="35">
        <f t="shared" si="8"/>
        <v>0</v>
      </c>
      <c r="AB49" s="35">
        <f t="shared" si="9"/>
        <v>0</v>
      </c>
      <c r="AD49" s="28">
        <v>21</v>
      </c>
      <c r="AE49" s="28">
        <f>G49*1</f>
        <v>0</v>
      </c>
      <c r="AF49" s="28">
        <f>G49*(1-1)</f>
        <v>0</v>
      </c>
      <c r="AM49" s="28">
        <f t="shared" si="10"/>
        <v>0</v>
      </c>
      <c r="AN49" s="28">
        <f t="shared" si="11"/>
        <v>0</v>
      </c>
      <c r="AO49" s="29" t="s">
        <v>317</v>
      </c>
      <c r="AP49" s="29" t="s">
        <v>331</v>
      </c>
      <c r="AQ49" s="17" t="s">
        <v>336</v>
      </c>
    </row>
    <row r="50" spans="1:43" ht="12">
      <c r="A50" s="34" t="s">
        <v>35</v>
      </c>
      <c r="B50" s="34" t="s">
        <v>85</v>
      </c>
      <c r="C50" s="34" t="s">
        <v>120</v>
      </c>
      <c r="D50" s="34" t="s">
        <v>213</v>
      </c>
      <c r="E50" s="34" t="s">
        <v>274</v>
      </c>
      <c r="F50" s="35">
        <v>1</v>
      </c>
      <c r="G50" s="35"/>
      <c r="H50" s="35"/>
      <c r="I50" s="35"/>
      <c r="J50" s="35"/>
      <c r="K50" s="35"/>
      <c r="L50" s="35"/>
      <c r="M50" s="27" t="s">
        <v>385</v>
      </c>
      <c r="N50" s="36" t="s">
        <v>296</v>
      </c>
      <c r="O50" s="35">
        <f t="shared" si="6"/>
        <v>0</v>
      </c>
      <c r="Z50" s="35">
        <f t="shared" si="7"/>
        <v>0</v>
      </c>
      <c r="AA50" s="35">
        <f t="shared" si="8"/>
        <v>0</v>
      </c>
      <c r="AB50" s="35">
        <f t="shared" si="9"/>
        <v>0</v>
      </c>
      <c r="AD50" s="28">
        <v>21</v>
      </c>
      <c r="AE50" s="28">
        <f>G50*1</f>
        <v>0</v>
      </c>
      <c r="AF50" s="28">
        <f>G50*(1-1)</f>
        <v>0</v>
      </c>
      <c r="AM50" s="28">
        <f t="shared" si="10"/>
        <v>0</v>
      </c>
      <c r="AN50" s="28">
        <f t="shared" si="11"/>
        <v>0</v>
      </c>
      <c r="AO50" s="29" t="s">
        <v>317</v>
      </c>
      <c r="AP50" s="29" t="s">
        <v>331</v>
      </c>
      <c r="AQ50" s="17" t="s">
        <v>336</v>
      </c>
    </row>
    <row r="51" spans="1:43" ht="12">
      <c r="A51" s="25" t="s">
        <v>36</v>
      </c>
      <c r="B51" s="25" t="s">
        <v>85</v>
      </c>
      <c r="C51" s="25" t="s">
        <v>121</v>
      </c>
      <c r="D51" s="25" t="s">
        <v>214</v>
      </c>
      <c r="E51" s="25" t="s">
        <v>272</v>
      </c>
      <c r="F51" s="26">
        <v>20.01</v>
      </c>
      <c r="G51" s="26"/>
      <c r="H51" s="26"/>
      <c r="I51" s="26"/>
      <c r="J51" s="26"/>
      <c r="K51" s="26"/>
      <c r="L51" s="26"/>
      <c r="M51" s="27" t="s">
        <v>385</v>
      </c>
      <c r="N51" s="27" t="s">
        <v>7</v>
      </c>
      <c r="O51" s="26">
        <f t="shared" si="6"/>
        <v>0</v>
      </c>
      <c r="Z51" s="26">
        <f t="shared" si="7"/>
        <v>0</v>
      </c>
      <c r="AA51" s="26">
        <f t="shared" si="8"/>
        <v>0</v>
      </c>
      <c r="AB51" s="26">
        <f t="shared" si="9"/>
        <v>0</v>
      </c>
      <c r="AD51" s="28">
        <v>21</v>
      </c>
      <c r="AE51" s="28">
        <f>G51*0.0234901002443768</f>
        <v>0</v>
      </c>
      <c r="AF51" s="28">
        <f>G51*(1-0.0234901002443768)</f>
        <v>0</v>
      </c>
      <c r="AM51" s="28">
        <f t="shared" si="10"/>
        <v>0</v>
      </c>
      <c r="AN51" s="28">
        <f t="shared" si="11"/>
        <v>0</v>
      </c>
      <c r="AO51" s="29" t="s">
        <v>317</v>
      </c>
      <c r="AP51" s="29" t="s">
        <v>331</v>
      </c>
      <c r="AQ51" s="17" t="s">
        <v>336</v>
      </c>
    </row>
    <row r="52" spans="1:43" ht="12">
      <c r="A52" s="25" t="s">
        <v>37</v>
      </c>
      <c r="B52" s="25" t="s">
        <v>85</v>
      </c>
      <c r="C52" s="25" t="s">
        <v>122</v>
      </c>
      <c r="D52" s="25" t="s">
        <v>215</v>
      </c>
      <c r="E52" s="25" t="s">
        <v>273</v>
      </c>
      <c r="F52" s="26">
        <v>32</v>
      </c>
      <c r="G52" s="26"/>
      <c r="H52" s="26"/>
      <c r="I52" s="26"/>
      <c r="J52" s="26"/>
      <c r="K52" s="26"/>
      <c r="L52" s="26"/>
      <c r="M52" s="27" t="s">
        <v>385</v>
      </c>
      <c r="N52" s="27" t="s">
        <v>7</v>
      </c>
      <c r="O52" s="26">
        <f t="shared" si="6"/>
        <v>0</v>
      </c>
      <c r="Z52" s="26">
        <f t="shared" si="7"/>
        <v>0</v>
      </c>
      <c r="AA52" s="26">
        <f t="shared" si="8"/>
        <v>0</v>
      </c>
      <c r="AB52" s="26">
        <f t="shared" si="9"/>
        <v>0</v>
      </c>
      <c r="AD52" s="28">
        <v>21</v>
      </c>
      <c r="AE52" s="28">
        <f>G52*0.108235294117647</f>
        <v>0</v>
      </c>
      <c r="AF52" s="28">
        <f>G52*(1-0.108235294117647)</f>
        <v>0</v>
      </c>
      <c r="AM52" s="28">
        <f t="shared" si="10"/>
        <v>0</v>
      </c>
      <c r="AN52" s="28">
        <f t="shared" si="11"/>
        <v>0</v>
      </c>
      <c r="AO52" s="29" t="s">
        <v>317</v>
      </c>
      <c r="AP52" s="29" t="s">
        <v>331</v>
      </c>
      <c r="AQ52" s="17" t="s">
        <v>336</v>
      </c>
    </row>
    <row r="53" spans="1:43" ht="12">
      <c r="A53" s="25" t="s">
        <v>38</v>
      </c>
      <c r="B53" s="25" t="s">
        <v>85</v>
      </c>
      <c r="C53" s="25" t="s">
        <v>123</v>
      </c>
      <c r="D53" s="25" t="s">
        <v>216</v>
      </c>
      <c r="E53" s="25" t="s">
        <v>272</v>
      </c>
      <c r="F53" s="26">
        <v>29.42</v>
      </c>
      <c r="G53" s="26"/>
      <c r="H53" s="26"/>
      <c r="I53" s="26"/>
      <c r="J53" s="26"/>
      <c r="K53" s="26"/>
      <c r="L53" s="26"/>
      <c r="M53" s="27" t="s">
        <v>385</v>
      </c>
      <c r="N53" s="27" t="s">
        <v>7</v>
      </c>
      <c r="O53" s="26">
        <f t="shared" si="6"/>
        <v>0</v>
      </c>
      <c r="Z53" s="26">
        <f t="shared" si="7"/>
        <v>0</v>
      </c>
      <c r="AA53" s="26">
        <f t="shared" si="8"/>
        <v>0</v>
      </c>
      <c r="AB53" s="26">
        <f t="shared" si="9"/>
        <v>0</v>
      </c>
      <c r="AD53" s="28">
        <v>21</v>
      </c>
      <c r="AE53" s="28">
        <f>G53*0.0178092783505155</f>
        <v>0</v>
      </c>
      <c r="AF53" s="28">
        <f>G53*(1-0.0178092783505155)</f>
        <v>0</v>
      </c>
      <c r="AM53" s="28">
        <f t="shared" si="10"/>
        <v>0</v>
      </c>
      <c r="AN53" s="28">
        <f t="shared" si="11"/>
        <v>0</v>
      </c>
      <c r="AO53" s="29" t="s">
        <v>317</v>
      </c>
      <c r="AP53" s="29" t="s">
        <v>331</v>
      </c>
      <c r="AQ53" s="17" t="s">
        <v>336</v>
      </c>
    </row>
    <row r="54" spans="1:43" ht="12">
      <c r="A54" s="34" t="s">
        <v>39</v>
      </c>
      <c r="B54" s="34" t="s">
        <v>85</v>
      </c>
      <c r="C54" s="34" t="s">
        <v>124</v>
      </c>
      <c r="D54" s="34" t="s">
        <v>217</v>
      </c>
      <c r="E54" s="34" t="s">
        <v>272</v>
      </c>
      <c r="F54" s="35">
        <v>56.84</v>
      </c>
      <c r="G54" s="35"/>
      <c r="H54" s="35"/>
      <c r="I54" s="35"/>
      <c r="J54" s="35"/>
      <c r="K54" s="35"/>
      <c r="L54" s="35"/>
      <c r="M54" s="27" t="s">
        <v>385</v>
      </c>
      <c r="N54" s="36" t="s">
        <v>296</v>
      </c>
      <c r="O54" s="35">
        <f t="shared" si="6"/>
        <v>0</v>
      </c>
      <c r="Z54" s="35">
        <f t="shared" si="7"/>
        <v>0</v>
      </c>
      <c r="AA54" s="35">
        <f t="shared" si="8"/>
        <v>0</v>
      </c>
      <c r="AB54" s="35">
        <f t="shared" si="9"/>
        <v>0</v>
      </c>
      <c r="AD54" s="28">
        <v>21</v>
      </c>
      <c r="AE54" s="28">
        <f>G54*1</f>
        <v>0</v>
      </c>
      <c r="AF54" s="28">
        <f>G54*(1-1)</f>
        <v>0</v>
      </c>
      <c r="AM54" s="28">
        <f t="shared" si="10"/>
        <v>0</v>
      </c>
      <c r="AN54" s="28">
        <f t="shared" si="11"/>
        <v>0</v>
      </c>
      <c r="AO54" s="29" t="s">
        <v>317</v>
      </c>
      <c r="AP54" s="29" t="s">
        <v>331</v>
      </c>
      <c r="AQ54" s="17" t="s">
        <v>336</v>
      </c>
    </row>
    <row r="55" spans="1:43" ht="12">
      <c r="A55" s="25" t="s">
        <v>40</v>
      </c>
      <c r="B55" s="25" t="s">
        <v>85</v>
      </c>
      <c r="C55" s="25" t="s">
        <v>125</v>
      </c>
      <c r="D55" s="25" t="s">
        <v>218</v>
      </c>
      <c r="E55" s="25" t="s">
        <v>391</v>
      </c>
      <c r="F55" s="26">
        <v>1</v>
      </c>
      <c r="G55" s="26"/>
      <c r="H55" s="26"/>
      <c r="I55" s="26"/>
      <c r="J55" s="26"/>
      <c r="K55" s="26"/>
      <c r="L55" s="26"/>
      <c r="M55" s="52" t="s">
        <v>385</v>
      </c>
      <c r="N55" s="27" t="s">
        <v>11</v>
      </c>
      <c r="O55" s="26">
        <f t="shared" si="6"/>
        <v>0</v>
      </c>
      <c r="Z55" s="26">
        <f t="shared" si="7"/>
        <v>0</v>
      </c>
      <c r="AA55" s="26">
        <f t="shared" si="8"/>
        <v>0</v>
      </c>
      <c r="AB55" s="26">
        <f t="shared" si="9"/>
        <v>0</v>
      </c>
      <c r="AD55" s="28">
        <v>21</v>
      </c>
      <c r="AE55" s="28">
        <f>G55*0</f>
        <v>0</v>
      </c>
      <c r="AF55" s="28">
        <f>G55*(1-0)</f>
        <v>0</v>
      </c>
      <c r="AM55" s="28">
        <f t="shared" si="10"/>
        <v>0</v>
      </c>
      <c r="AN55" s="28">
        <f t="shared" si="11"/>
        <v>0</v>
      </c>
      <c r="AO55" s="29" t="s">
        <v>317</v>
      </c>
      <c r="AP55" s="29" t="s">
        <v>331</v>
      </c>
      <c r="AQ55" s="17" t="s">
        <v>336</v>
      </c>
    </row>
    <row r="56" spans="1:37" ht="12">
      <c r="A56" s="22"/>
      <c r="B56" s="23" t="s">
        <v>85</v>
      </c>
      <c r="C56" s="23" t="s">
        <v>126</v>
      </c>
      <c r="D56" s="198" t="s">
        <v>219</v>
      </c>
      <c r="E56" s="199"/>
      <c r="F56" s="199"/>
      <c r="G56" s="199"/>
      <c r="H56" s="24">
        <f>SUM(H57:H63)</f>
        <v>0</v>
      </c>
      <c r="I56" s="24">
        <f>SUM(I57:I63)</f>
        <v>0</v>
      </c>
      <c r="J56" s="24">
        <f>H56+I56</f>
        <v>0</v>
      </c>
      <c r="K56" s="17"/>
      <c r="L56" s="24">
        <f>SUM(L57:L63)</f>
        <v>0</v>
      </c>
      <c r="M56" s="27"/>
      <c r="P56" s="24">
        <f>IF(Q56="PR",J56,SUM(O57:O63))</f>
        <v>0</v>
      </c>
      <c r="Q56" s="17" t="s">
        <v>300</v>
      </c>
      <c r="R56" s="24">
        <f>IF(Q56="HS",H56,0)</f>
        <v>0</v>
      </c>
      <c r="S56" s="24">
        <f>IF(Q56="HS",I56-P56,0)</f>
        <v>0</v>
      </c>
      <c r="T56" s="24">
        <f>IF(Q56="PS",H56,0)</f>
        <v>0</v>
      </c>
      <c r="U56" s="24">
        <f>IF(Q56="PS",I56-P56,0)</f>
        <v>0</v>
      </c>
      <c r="V56" s="24">
        <f>IF(Q56="MP",H56,0)</f>
        <v>0</v>
      </c>
      <c r="W56" s="24">
        <f>IF(Q56="MP",I56-P56,0)</f>
        <v>0</v>
      </c>
      <c r="X56" s="24">
        <f>IF(Q56="OM",H56,0)</f>
        <v>0</v>
      </c>
      <c r="Y56" s="17" t="s">
        <v>85</v>
      </c>
      <c r="AI56" s="24">
        <f>SUM(Z57:Z63)</f>
        <v>0</v>
      </c>
      <c r="AJ56" s="24">
        <f>SUM(AA57:AA63)</f>
        <v>0</v>
      </c>
      <c r="AK56" s="24">
        <f>SUM(AB57:AB63)</f>
        <v>0</v>
      </c>
    </row>
    <row r="57" spans="1:43" ht="12">
      <c r="A57" s="25" t="s">
        <v>41</v>
      </c>
      <c r="B57" s="25" t="s">
        <v>85</v>
      </c>
      <c r="C57" s="25" t="s">
        <v>127</v>
      </c>
      <c r="D57" s="25" t="s">
        <v>220</v>
      </c>
      <c r="E57" s="25" t="s">
        <v>272</v>
      </c>
      <c r="F57" s="26">
        <v>117.7</v>
      </c>
      <c r="G57" s="26"/>
      <c r="H57" s="26"/>
      <c r="I57" s="26"/>
      <c r="J57" s="26"/>
      <c r="K57" s="26"/>
      <c r="L57" s="26"/>
      <c r="M57" s="27" t="s">
        <v>385</v>
      </c>
      <c r="N57" s="27" t="s">
        <v>7</v>
      </c>
      <c r="O57" s="26">
        <f aca="true" t="shared" si="12" ref="O57:O63">IF(N57="5",I57,0)</f>
        <v>0</v>
      </c>
      <c r="Z57" s="26">
        <f aca="true" t="shared" si="13" ref="Z57:Z63">IF(AD57=0,J57,0)</f>
        <v>0</v>
      </c>
      <c r="AA57" s="26">
        <f aca="true" t="shared" si="14" ref="AA57:AA63">IF(AD57=15,J57,0)</f>
        <v>0</v>
      </c>
      <c r="AB57" s="26">
        <f aca="true" t="shared" si="15" ref="AB57:AB63">IF(AD57=21,J57,0)</f>
        <v>0</v>
      </c>
      <c r="AD57" s="28">
        <v>21</v>
      </c>
      <c r="AE57" s="28">
        <f>G57*0</f>
        <v>0</v>
      </c>
      <c r="AF57" s="28">
        <f>G57*(1-0)</f>
        <v>0</v>
      </c>
      <c r="AM57" s="28">
        <f aca="true" t="shared" si="16" ref="AM57:AM63">F57*AE57</f>
        <v>0</v>
      </c>
      <c r="AN57" s="28">
        <f aca="true" t="shared" si="17" ref="AN57:AN63">F57*AF57</f>
        <v>0</v>
      </c>
      <c r="AO57" s="29" t="s">
        <v>318</v>
      </c>
      <c r="AP57" s="29" t="s">
        <v>332</v>
      </c>
      <c r="AQ57" s="17" t="s">
        <v>336</v>
      </c>
    </row>
    <row r="58" spans="1:43" ht="12">
      <c r="A58" s="25" t="s">
        <v>42</v>
      </c>
      <c r="B58" s="25" t="s">
        <v>85</v>
      </c>
      <c r="C58" s="25" t="s">
        <v>128</v>
      </c>
      <c r="D58" s="25" t="s">
        <v>221</v>
      </c>
      <c r="E58" s="25" t="s">
        <v>272</v>
      </c>
      <c r="F58" s="26">
        <v>117.7</v>
      </c>
      <c r="G58" s="26"/>
      <c r="H58" s="26"/>
      <c r="I58" s="26"/>
      <c r="J58" s="26"/>
      <c r="K58" s="26"/>
      <c r="L58" s="26"/>
      <c r="M58" s="27" t="s">
        <v>385</v>
      </c>
      <c r="N58" s="27" t="s">
        <v>7</v>
      </c>
      <c r="O58" s="26">
        <f t="shared" si="12"/>
        <v>0</v>
      </c>
      <c r="Z58" s="26">
        <f t="shared" si="13"/>
        <v>0</v>
      </c>
      <c r="AA58" s="26">
        <f t="shared" si="14"/>
        <v>0</v>
      </c>
      <c r="AB58" s="26">
        <f t="shared" si="15"/>
        <v>0</v>
      </c>
      <c r="AD58" s="28">
        <v>21</v>
      </c>
      <c r="AE58" s="28">
        <f>G58*0</f>
        <v>0</v>
      </c>
      <c r="AF58" s="28">
        <f>G58*(1-0)</f>
        <v>0</v>
      </c>
      <c r="AM58" s="28">
        <f t="shared" si="16"/>
        <v>0</v>
      </c>
      <c r="AN58" s="28">
        <f t="shared" si="17"/>
        <v>0</v>
      </c>
      <c r="AO58" s="29" t="s">
        <v>318</v>
      </c>
      <c r="AP58" s="29" t="s">
        <v>332</v>
      </c>
      <c r="AQ58" s="17" t="s">
        <v>336</v>
      </c>
    </row>
    <row r="59" spans="1:43" ht="12">
      <c r="A59" s="25" t="s">
        <v>43</v>
      </c>
      <c r="B59" s="25" t="s">
        <v>85</v>
      </c>
      <c r="C59" s="25" t="s">
        <v>129</v>
      </c>
      <c r="D59" s="25" t="s">
        <v>222</v>
      </c>
      <c r="E59" s="25" t="s">
        <v>272</v>
      </c>
      <c r="F59" s="26">
        <v>117.7</v>
      </c>
      <c r="G59" s="26"/>
      <c r="H59" s="26"/>
      <c r="I59" s="26"/>
      <c r="J59" s="26"/>
      <c r="K59" s="26"/>
      <c r="L59" s="26"/>
      <c r="M59" s="27" t="s">
        <v>385</v>
      </c>
      <c r="N59" s="27" t="s">
        <v>7</v>
      </c>
      <c r="O59" s="26">
        <f t="shared" si="12"/>
        <v>0</v>
      </c>
      <c r="Z59" s="26">
        <f t="shared" si="13"/>
        <v>0</v>
      </c>
      <c r="AA59" s="26">
        <f t="shared" si="14"/>
        <v>0</v>
      </c>
      <c r="AB59" s="26">
        <f t="shared" si="15"/>
        <v>0</v>
      </c>
      <c r="AD59" s="28">
        <v>21</v>
      </c>
      <c r="AE59" s="28">
        <f>G59*0</f>
        <v>0</v>
      </c>
      <c r="AF59" s="28">
        <f>G59*(1-0)</f>
        <v>0</v>
      </c>
      <c r="AM59" s="28">
        <f t="shared" si="16"/>
        <v>0</v>
      </c>
      <c r="AN59" s="28">
        <f t="shared" si="17"/>
        <v>0</v>
      </c>
      <c r="AO59" s="29" t="s">
        <v>318</v>
      </c>
      <c r="AP59" s="29" t="s">
        <v>332</v>
      </c>
      <c r="AQ59" s="17" t="s">
        <v>336</v>
      </c>
    </row>
    <row r="60" spans="1:43" ht="12">
      <c r="A60" s="34" t="s">
        <v>44</v>
      </c>
      <c r="B60" s="34" t="s">
        <v>85</v>
      </c>
      <c r="C60" s="34" t="s">
        <v>130</v>
      </c>
      <c r="D60" s="34" t="s">
        <v>395</v>
      </c>
      <c r="E60" s="34" t="s">
        <v>272</v>
      </c>
      <c r="F60" s="35">
        <v>123.59</v>
      </c>
      <c r="G60" s="35"/>
      <c r="H60" s="35"/>
      <c r="I60" s="35"/>
      <c r="J60" s="35"/>
      <c r="K60" s="35"/>
      <c r="L60" s="35"/>
      <c r="M60" s="36"/>
      <c r="N60" s="36" t="s">
        <v>296</v>
      </c>
      <c r="O60" s="35">
        <f t="shared" si="12"/>
        <v>0</v>
      </c>
      <c r="Z60" s="35">
        <f t="shared" si="13"/>
        <v>0</v>
      </c>
      <c r="AA60" s="35">
        <f t="shared" si="14"/>
        <v>0</v>
      </c>
      <c r="AB60" s="35">
        <f t="shared" si="15"/>
        <v>0</v>
      </c>
      <c r="AD60" s="28">
        <v>21</v>
      </c>
      <c r="AE60" s="28">
        <f>G60*1</f>
        <v>0</v>
      </c>
      <c r="AF60" s="28">
        <f>G60*(1-1)</f>
        <v>0</v>
      </c>
      <c r="AM60" s="28">
        <f t="shared" si="16"/>
        <v>0</v>
      </c>
      <c r="AN60" s="28">
        <f t="shared" si="17"/>
        <v>0</v>
      </c>
      <c r="AO60" s="29" t="s">
        <v>318</v>
      </c>
      <c r="AP60" s="29" t="s">
        <v>332</v>
      </c>
      <c r="AQ60" s="17" t="s">
        <v>336</v>
      </c>
    </row>
    <row r="61" spans="1:43" ht="12">
      <c r="A61" s="25" t="s">
        <v>45</v>
      </c>
      <c r="B61" s="25" t="s">
        <v>85</v>
      </c>
      <c r="C61" s="25" t="s">
        <v>131</v>
      </c>
      <c r="D61" s="25" t="s">
        <v>224</v>
      </c>
      <c r="E61" s="25" t="s">
        <v>273</v>
      </c>
      <c r="F61" s="26">
        <v>48.61</v>
      </c>
      <c r="G61" s="26"/>
      <c r="H61" s="26"/>
      <c r="I61" s="26"/>
      <c r="J61" s="26"/>
      <c r="K61" s="26"/>
      <c r="L61" s="26"/>
      <c r="M61" s="27" t="s">
        <v>385</v>
      </c>
      <c r="N61" s="27" t="s">
        <v>7</v>
      </c>
      <c r="O61" s="26">
        <f t="shared" si="12"/>
        <v>0</v>
      </c>
      <c r="Z61" s="26">
        <f t="shared" si="13"/>
        <v>0</v>
      </c>
      <c r="AA61" s="26">
        <f t="shared" si="14"/>
        <v>0</v>
      </c>
      <c r="AB61" s="26">
        <f t="shared" si="15"/>
        <v>0</v>
      </c>
      <c r="AD61" s="28">
        <v>21</v>
      </c>
      <c r="AE61" s="28">
        <f>G61*0</f>
        <v>0</v>
      </c>
      <c r="AF61" s="28">
        <f>G61*(1-0)</f>
        <v>0</v>
      </c>
      <c r="AM61" s="28">
        <f t="shared" si="16"/>
        <v>0</v>
      </c>
      <c r="AN61" s="28">
        <f t="shared" si="17"/>
        <v>0</v>
      </c>
      <c r="AO61" s="29" t="s">
        <v>318</v>
      </c>
      <c r="AP61" s="29" t="s">
        <v>332</v>
      </c>
      <c r="AQ61" s="17" t="s">
        <v>336</v>
      </c>
    </row>
    <row r="62" spans="1:43" ht="12">
      <c r="A62" s="34" t="s">
        <v>46</v>
      </c>
      <c r="B62" s="34" t="s">
        <v>85</v>
      </c>
      <c r="C62" s="34" t="s">
        <v>132</v>
      </c>
      <c r="D62" s="34" t="s">
        <v>225</v>
      </c>
      <c r="E62" s="34" t="s">
        <v>273</v>
      </c>
      <c r="F62" s="35">
        <v>53.47</v>
      </c>
      <c r="G62" s="35"/>
      <c r="H62" s="35"/>
      <c r="I62" s="35"/>
      <c r="J62" s="35"/>
      <c r="K62" s="35"/>
      <c r="L62" s="35"/>
      <c r="M62" s="36"/>
      <c r="N62" s="36" t="s">
        <v>296</v>
      </c>
      <c r="O62" s="35">
        <f t="shared" si="12"/>
        <v>0</v>
      </c>
      <c r="Z62" s="35">
        <f t="shared" si="13"/>
        <v>0</v>
      </c>
      <c r="AA62" s="35">
        <f t="shared" si="14"/>
        <v>0</v>
      </c>
      <c r="AB62" s="35">
        <f t="shared" si="15"/>
        <v>0</v>
      </c>
      <c r="AD62" s="28">
        <v>21</v>
      </c>
      <c r="AE62" s="28">
        <f>G62*1</f>
        <v>0</v>
      </c>
      <c r="AF62" s="28">
        <f>G62*(1-1)</f>
        <v>0</v>
      </c>
      <c r="AM62" s="28">
        <f t="shared" si="16"/>
        <v>0</v>
      </c>
      <c r="AN62" s="28">
        <f t="shared" si="17"/>
        <v>0</v>
      </c>
      <c r="AO62" s="29" t="s">
        <v>318</v>
      </c>
      <c r="AP62" s="29" t="s">
        <v>332</v>
      </c>
      <c r="AQ62" s="17" t="s">
        <v>336</v>
      </c>
    </row>
    <row r="63" spans="1:43" ht="12">
      <c r="A63" s="25" t="s">
        <v>47</v>
      </c>
      <c r="B63" s="25" t="s">
        <v>85</v>
      </c>
      <c r="C63" s="25" t="s">
        <v>133</v>
      </c>
      <c r="D63" s="25" t="s">
        <v>226</v>
      </c>
      <c r="E63" s="25" t="s">
        <v>391</v>
      </c>
      <c r="F63" s="26">
        <v>1</v>
      </c>
      <c r="G63" s="26"/>
      <c r="H63" s="26"/>
      <c r="I63" s="26"/>
      <c r="J63" s="26"/>
      <c r="K63" s="26"/>
      <c r="L63" s="26"/>
      <c r="M63" s="52" t="s">
        <v>385</v>
      </c>
      <c r="N63" s="27" t="s">
        <v>11</v>
      </c>
      <c r="O63" s="26">
        <f t="shared" si="12"/>
        <v>0</v>
      </c>
      <c r="Z63" s="26">
        <f t="shared" si="13"/>
        <v>0</v>
      </c>
      <c r="AA63" s="26">
        <f t="shared" si="14"/>
        <v>0</v>
      </c>
      <c r="AB63" s="26">
        <f t="shared" si="15"/>
        <v>0</v>
      </c>
      <c r="AD63" s="28">
        <v>21</v>
      </c>
      <c r="AE63" s="28">
        <f>G63*0</f>
        <v>0</v>
      </c>
      <c r="AF63" s="28">
        <f>G63*(1-0)</f>
        <v>0</v>
      </c>
      <c r="AM63" s="28">
        <f t="shared" si="16"/>
        <v>0</v>
      </c>
      <c r="AN63" s="28">
        <f t="shared" si="17"/>
        <v>0</v>
      </c>
      <c r="AO63" s="29" t="s">
        <v>318</v>
      </c>
      <c r="AP63" s="29" t="s">
        <v>332</v>
      </c>
      <c r="AQ63" s="17" t="s">
        <v>336</v>
      </c>
    </row>
    <row r="64" spans="1:37" ht="12">
      <c r="A64" s="22"/>
      <c r="B64" s="23" t="s">
        <v>85</v>
      </c>
      <c r="C64" s="23" t="s">
        <v>134</v>
      </c>
      <c r="D64" s="198" t="s">
        <v>227</v>
      </c>
      <c r="E64" s="199"/>
      <c r="F64" s="199"/>
      <c r="G64" s="199"/>
      <c r="H64" s="24">
        <f>SUM(H65:H68)</f>
        <v>0</v>
      </c>
      <c r="I64" s="24">
        <f>SUM(I65:I68)</f>
        <v>0</v>
      </c>
      <c r="J64" s="24">
        <f>H64+I64</f>
        <v>0</v>
      </c>
      <c r="K64" s="17"/>
      <c r="L64" s="24">
        <f>SUM(L65:L68)</f>
        <v>0</v>
      </c>
      <c r="M64" s="27"/>
      <c r="P64" s="24">
        <f>IF(Q64="PR",J64,SUM(O65:O68))</f>
        <v>0</v>
      </c>
      <c r="Q64" s="17" t="s">
        <v>300</v>
      </c>
      <c r="R64" s="24">
        <f>IF(Q64="HS",H64,0)</f>
        <v>0</v>
      </c>
      <c r="S64" s="24">
        <f>IF(Q64="HS",I64-P64,0)</f>
        <v>0</v>
      </c>
      <c r="T64" s="24">
        <f>IF(Q64="PS",H64,0)</f>
        <v>0</v>
      </c>
      <c r="U64" s="24">
        <f>IF(Q64="PS",I64-P64,0)</f>
        <v>0</v>
      </c>
      <c r="V64" s="24">
        <f>IF(Q64="MP",H64,0)</f>
        <v>0</v>
      </c>
      <c r="W64" s="24">
        <f>IF(Q64="MP",I64-P64,0)</f>
        <v>0</v>
      </c>
      <c r="X64" s="24">
        <f>IF(Q64="OM",H64,0)</f>
        <v>0</v>
      </c>
      <c r="Y64" s="17" t="s">
        <v>85</v>
      </c>
      <c r="AI64" s="24">
        <f>SUM(Z65:Z68)</f>
        <v>0</v>
      </c>
      <c r="AJ64" s="24">
        <f>SUM(AA65:AA68)</f>
        <v>0</v>
      </c>
      <c r="AK64" s="24">
        <f>SUM(AB65:AB68)</f>
        <v>0</v>
      </c>
    </row>
    <row r="65" spans="1:43" ht="12">
      <c r="A65" s="25" t="s">
        <v>48</v>
      </c>
      <c r="B65" s="25" t="s">
        <v>85</v>
      </c>
      <c r="C65" s="25" t="s">
        <v>135</v>
      </c>
      <c r="D65" s="25" t="s">
        <v>397</v>
      </c>
      <c r="E65" s="25" t="s">
        <v>272</v>
      </c>
      <c r="F65" s="26">
        <v>117.7</v>
      </c>
      <c r="G65" s="26"/>
      <c r="H65" s="26"/>
      <c r="I65" s="26"/>
      <c r="J65" s="26"/>
      <c r="K65" s="26"/>
      <c r="L65" s="26"/>
      <c r="M65" s="27" t="s">
        <v>385</v>
      </c>
      <c r="N65" s="27" t="s">
        <v>7</v>
      </c>
      <c r="O65" s="26">
        <f>IF(N65="5",I65,0)</f>
        <v>0</v>
      </c>
      <c r="Z65" s="26">
        <f>IF(AD65=0,J65,0)</f>
        <v>0</v>
      </c>
      <c r="AA65" s="26">
        <f>IF(AD65=15,J65,0)</f>
        <v>0</v>
      </c>
      <c r="AB65" s="26">
        <f>IF(AD65=21,J65,0)</f>
        <v>0</v>
      </c>
      <c r="AD65" s="28">
        <v>21</v>
      </c>
      <c r="AE65" s="28">
        <f>G65*0.188617886178862</f>
        <v>0</v>
      </c>
      <c r="AF65" s="28">
        <f>G65*(1-0.188617886178862)</f>
        <v>0</v>
      </c>
      <c r="AM65" s="28">
        <f>F65*AE65</f>
        <v>0</v>
      </c>
      <c r="AN65" s="28">
        <f>F65*AF65</f>
        <v>0</v>
      </c>
      <c r="AO65" s="29" t="s">
        <v>319</v>
      </c>
      <c r="AP65" s="29" t="s">
        <v>333</v>
      </c>
      <c r="AQ65" s="17" t="s">
        <v>336</v>
      </c>
    </row>
    <row r="66" spans="1:43" ht="12">
      <c r="A66" s="25" t="s">
        <v>49</v>
      </c>
      <c r="B66" s="25" t="s">
        <v>85</v>
      </c>
      <c r="C66" s="25" t="s">
        <v>136</v>
      </c>
      <c r="D66" s="25" t="s">
        <v>399</v>
      </c>
      <c r="E66" s="25" t="s">
        <v>272</v>
      </c>
      <c r="F66" s="26">
        <v>98.28</v>
      </c>
      <c r="G66" s="26"/>
      <c r="H66" s="26"/>
      <c r="I66" s="26"/>
      <c r="J66" s="26"/>
      <c r="K66" s="26"/>
      <c r="L66" s="26"/>
      <c r="M66" s="27" t="s">
        <v>385</v>
      </c>
      <c r="N66" s="27" t="s">
        <v>7</v>
      </c>
      <c r="O66" s="26">
        <f>IF(N66="5",I66,0)</f>
        <v>0</v>
      </c>
      <c r="Z66" s="26">
        <f>IF(AD66=0,J66,0)</f>
        <v>0</v>
      </c>
      <c r="AA66" s="26">
        <f>IF(AD66=15,J66,0)</f>
        <v>0</v>
      </c>
      <c r="AB66" s="26">
        <f>IF(AD66=21,J66,0)</f>
        <v>0</v>
      </c>
      <c r="AD66" s="28">
        <v>21</v>
      </c>
      <c r="AE66" s="28">
        <f>G66*0.238931297709924</f>
        <v>0</v>
      </c>
      <c r="AF66" s="28">
        <f>G66*(1-0.238931297709924)</f>
        <v>0</v>
      </c>
      <c r="AM66" s="28">
        <f>F66*AE66</f>
        <v>0</v>
      </c>
      <c r="AN66" s="28">
        <f>F66*AF66</f>
        <v>0</v>
      </c>
      <c r="AO66" s="29" t="s">
        <v>319</v>
      </c>
      <c r="AP66" s="29" t="s">
        <v>333</v>
      </c>
      <c r="AQ66" s="17" t="s">
        <v>336</v>
      </c>
    </row>
    <row r="67" spans="1:43" ht="12">
      <c r="A67" s="25" t="s">
        <v>50</v>
      </c>
      <c r="B67" s="25" t="s">
        <v>85</v>
      </c>
      <c r="C67" s="25" t="s">
        <v>137</v>
      </c>
      <c r="D67" s="25" t="s">
        <v>398</v>
      </c>
      <c r="E67" s="25" t="s">
        <v>272</v>
      </c>
      <c r="F67" s="26">
        <v>98.28</v>
      </c>
      <c r="G67" s="26"/>
      <c r="H67" s="26"/>
      <c r="I67" s="26"/>
      <c r="J67" s="26"/>
      <c r="K67" s="26"/>
      <c r="L67" s="26"/>
      <c r="M67" s="27" t="s">
        <v>385</v>
      </c>
      <c r="N67" s="27" t="s">
        <v>7</v>
      </c>
      <c r="O67" s="26">
        <f>IF(N67="5",I67,0)</f>
        <v>0</v>
      </c>
      <c r="Z67" s="26">
        <f>IF(AD67=0,J67,0)</f>
        <v>0</v>
      </c>
      <c r="AA67" s="26">
        <f>IF(AD67=15,J67,0)</f>
        <v>0</v>
      </c>
      <c r="AB67" s="26">
        <f>IF(AD67=21,J67,0)</f>
        <v>0</v>
      </c>
      <c r="AD67" s="28">
        <v>21</v>
      </c>
      <c r="AE67" s="28">
        <f>G67*0.114156541395875</f>
        <v>0</v>
      </c>
      <c r="AF67" s="28">
        <f>G67*(1-0.114156541395875)</f>
        <v>0</v>
      </c>
      <c r="AM67" s="28">
        <f>F67*AE67</f>
        <v>0</v>
      </c>
      <c r="AN67" s="28">
        <f>F67*AF67</f>
        <v>0</v>
      </c>
      <c r="AO67" s="29" t="s">
        <v>319</v>
      </c>
      <c r="AP67" s="29" t="s">
        <v>333</v>
      </c>
      <c r="AQ67" s="17" t="s">
        <v>336</v>
      </c>
    </row>
    <row r="68" spans="1:43" ht="12">
      <c r="A68" s="25" t="s">
        <v>51</v>
      </c>
      <c r="B68" s="25" t="s">
        <v>85</v>
      </c>
      <c r="C68" s="25" t="s">
        <v>138</v>
      </c>
      <c r="D68" s="25" t="s">
        <v>400</v>
      </c>
      <c r="E68" s="25" t="s">
        <v>272</v>
      </c>
      <c r="F68" s="26">
        <v>117.7</v>
      </c>
      <c r="G68" s="26"/>
      <c r="H68" s="26"/>
      <c r="I68" s="26"/>
      <c r="J68" s="26"/>
      <c r="K68" s="26"/>
      <c r="L68" s="26"/>
      <c r="M68" s="27" t="s">
        <v>385</v>
      </c>
      <c r="N68" s="27" t="s">
        <v>7</v>
      </c>
      <c r="O68" s="26">
        <f>IF(N68="5",I68,0)</f>
        <v>0</v>
      </c>
      <c r="Z68" s="26">
        <f>IF(AD68=0,J68,0)</f>
        <v>0</v>
      </c>
      <c r="AA68" s="26">
        <f>IF(AD68=15,J68,0)</f>
        <v>0</v>
      </c>
      <c r="AB68" s="26">
        <f>IF(AD68=21,J68,0)</f>
        <v>0</v>
      </c>
      <c r="AD68" s="28">
        <v>21</v>
      </c>
      <c r="AE68" s="28">
        <f>G68*0.196981325147096</f>
        <v>0</v>
      </c>
      <c r="AF68" s="28">
        <f>G68*(1-0.196981325147096)</f>
        <v>0</v>
      </c>
      <c r="AM68" s="28">
        <f>F68*AE68</f>
        <v>0</v>
      </c>
      <c r="AN68" s="28">
        <f>F68*AF68</f>
        <v>0</v>
      </c>
      <c r="AO68" s="29" t="s">
        <v>319</v>
      </c>
      <c r="AP68" s="29" t="s">
        <v>333</v>
      </c>
      <c r="AQ68" s="17" t="s">
        <v>336</v>
      </c>
    </row>
    <row r="69" spans="1:37" ht="12">
      <c r="A69" s="22"/>
      <c r="B69" s="23" t="s">
        <v>85</v>
      </c>
      <c r="C69" s="23" t="s">
        <v>139</v>
      </c>
      <c r="D69" s="198" t="s">
        <v>232</v>
      </c>
      <c r="E69" s="199"/>
      <c r="F69" s="199"/>
      <c r="G69" s="199"/>
      <c r="H69" s="24">
        <f>SUM(H70:H70)</f>
        <v>0</v>
      </c>
      <c r="I69" s="24">
        <f>SUM(I70:I70)</f>
        <v>0</v>
      </c>
      <c r="J69" s="24">
        <f>H69+I69</f>
        <v>0</v>
      </c>
      <c r="K69" s="17"/>
      <c r="L69" s="24">
        <f>SUM(L70:L70)</f>
        <v>0</v>
      </c>
      <c r="M69" s="27"/>
      <c r="P69" s="24">
        <f>IF(Q69="PR",J69,SUM(O70:O70))</f>
        <v>0</v>
      </c>
      <c r="Q69" s="17" t="s">
        <v>299</v>
      </c>
      <c r="R69" s="24">
        <f>IF(Q69="HS",H69,0)</f>
        <v>0</v>
      </c>
      <c r="S69" s="24">
        <f>IF(Q69="HS",I69-P69,0)</f>
        <v>0</v>
      </c>
      <c r="T69" s="24">
        <f>IF(Q69="PS",H69,0)</f>
        <v>0</v>
      </c>
      <c r="U69" s="24">
        <f>IF(Q69="PS",I69-P69,0)</f>
        <v>0</v>
      </c>
      <c r="V69" s="24">
        <f>IF(Q69="MP",H69,0)</f>
        <v>0</v>
      </c>
      <c r="W69" s="24">
        <f>IF(Q69="MP",I69-P69,0)</f>
        <v>0</v>
      </c>
      <c r="X69" s="24">
        <f>IF(Q69="OM",H69,0)</f>
        <v>0</v>
      </c>
      <c r="Y69" s="17" t="s">
        <v>85</v>
      </c>
      <c r="AI69" s="24">
        <f>SUM(Z70:Z70)</f>
        <v>0</v>
      </c>
      <c r="AJ69" s="24">
        <f>SUM(AA70:AA70)</f>
        <v>0</v>
      </c>
      <c r="AK69" s="24">
        <f>SUM(AB70:AB70)</f>
        <v>0</v>
      </c>
    </row>
    <row r="70" spans="1:43" ht="12">
      <c r="A70" s="25" t="s">
        <v>52</v>
      </c>
      <c r="B70" s="25" t="s">
        <v>85</v>
      </c>
      <c r="C70" s="25" t="s">
        <v>140</v>
      </c>
      <c r="D70" s="25" t="s">
        <v>233</v>
      </c>
      <c r="E70" s="25" t="s">
        <v>272</v>
      </c>
      <c r="F70" s="26">
        <v>50</v>
      </c>
      <c r="G70" s="26"/>
      <c r="H70" s="26"/>
      <c r="I70" s="26"/>
      <c r="J70" s="26"/>
      <c r="K70" s="26"/>
      <c r="L70" s="26"/>
      <c r="M70" s="27" t="s">
        <v>385</v>
      </c>
      <c r="N70" s="27" t="s">
        <v>7</v>
      </c>
      <c r="O70" s="26">
        <f>IF(N70="5",I70,0)</f>
        <v>0</v>
      </c>
      <c r="Z70" s="26">
        <f>IF(AD70=0,J70,0)</f>
        <v>0</v>
      </c>
      <c r="AA70" s="26">
        <f>IF(AD70=15,J70,0)</f>
        <v>0</v>
      </c>
      <c r="AB70" s="26">
        <f>IF(AD70=21,J70,0)</f>
        <v>0</v>
      </c>
      <c r="AD70" s="28">
        <v>21</v>
      </c>
      <c r="AE70" s="28">
        <f>G70*0.463173076923077</f>
        <v>0</v>
      </c>
      <c r="AF70" s="28">
        <f>G70*(1-0.463173076923077)</f>
        <v>0</v>
      </c>
      <c r="AM70" s="28">
        <f>F70*AE70</f>
        <v>0</v>
      </c>
      <c r="AN70" s="28">
        <f>F70*AF70</f>
        <v>0</v>
      </c>
      <c r="AO70" s="29" t="s">
        <v>320</v>
      </c>
      <c r="AP70" s="29" t="s">
        <v>327</v>
      </c>
      <c r="AQ70" s="17" t="s">
        <v>336</v>
      </c>
    </row>
    <row r="71" spans="1:37" ht="12">
      <c r="A71" s="22"/>
      <c r="B71" s="23" t="s">
        <v>85</v>
      </c>
      <c r="C71" s="23" t="s">
        <v>88</v>
      </c>
      <c r="D71" s="198" t="s">
        <v>177</v>
      </c>
      <c r="E71" s="199"/>
      <c r="F71" s="199"/>
      <c r="G71" s="199"/>
      <c r="H71" s="24">
        <f>SUM(H72:H84)</f>
        <v>0</v>
      </c>
      <c r="I71" s="24">
        <f>SUM(I72:I84)</f>
        <v>0</v>
      </c>
      <c r="J71" s="24">
        <f>H71+I71</f>
        <v>0</v>
      </c>
      <c r="K71" s="17"/>
      <c r="L71" s="24">
        <f>SUM(L72:L84)</f>
        <v>0</v>
      </c>
      <c r="M71" s="17"/>
      <c r="P71" s="24">
        <f>IF(Q71="PR",J71,SUM(O72:O84))</f>
        <v>0</v>
      </c>
      <c r="Q71" s="17" t="s">
        <v>299</v>
      </c>
      <c r="R71" s="24">
        <f>IF(Q71="HS",H71,0)</f>
        <v>0</v>
      </c>
      <c r="S71" s="24">
        <f>IF(Q71="HS",I71-P71,0)</f>
        <v>0</v>
      </c>
      <c r="T71" s="24">
        <f>IF(Q71="PS",H71,0)</f>
        <v>0</v>
      </c>
      <c r="U71" s="24">
        <f>IF(Q71="PS",I71-P71,0)</f>
        <v>0</v>
      </c>
      <c r="V71" s="24">
        <f>IF(Q71="MP",H71,0)</f>
        <v>0</v>
      </c>
      <c r="W71" s="24">
        <f>IF(Q71="MP",I71-P71,0)</f>
        <v>0</v>
      </c>
      <c r="X71" s="24">
        <f>IF(Q71="OM",H71,0)</f>
        <v>0</v>
      </c>
      <c r="Y71" s="17" t="s">
        <v>85</v>
      </c>
      <c r="AI71" s="24">
        <f>SUM(Z72:Z84)</f>
        <v>0</v>
      </c>
      <c r="AJ71" s="24">
        <f>SUM(AA72:AA84)</f>
        <v>0</v>
      </c>
      <c r="AK71" s="24">
        <f>SUM(AB72:AB84)</f>
        <v>0</v>
      </c>
    </row>
    <row r="72" spans="1:43" ht="12">
      <c r="A72" s="50" t="s">
        <v>53</v>
      </c>
      <c r="B72" s="50" t="s">
        <v>85</v>
      </c>
      <c r="C72" s="50" t="s">
        <v>90</v>
      </c>
      <c r="D72" s="157" t="s">
        <v>179</v>
      </c>
      <c r="E72" s="50" t="s">
        <v>279</v>
      </c>
      <c r="F72" s="51">
        <v>0</v>
      </c>
      <c r="G72" s="26"/>
      <c r="H72" s="26"/>
      <c r="I72" s="26"/>
      <c r="J72" s="26"/>
      <c r="K72" s="26"/>
      <c r="L72" s="26"/>
      <c r="M72" s="27"/>
      <c r="N72" s="27" t="s">
        <v>7</v>
      </c>
      <c r="O72" s="26">
        <f aca="true" t="shared" si="18" ref="O72:O84">IF(N72="5",I72,0)</f>
        <v>0</v>
      </c>
      <c r="Z72" s="26">
        <f aca="true" t="shared" si="19" ref="Z72:Z84">IF(AD72=0,J72,0)</f>
        <v>0</v>
      </c>
      <c r="AA72" s="26">
        <f aca="true" t="shared" si="20" ref="AA72:AA84">IF(AD72=15,J72,0)</f>
        <v>0</v>
      </c>
      <c r="AB72" s="26">
        <f aca="true" t="shared" si="21" ref="AB72:AB84">IF(AD72=21,J72,0)</f>
        <v>0</v>
      </c>
      <c r="AD72" s="28">
        <v>21</v>
      </c>
      <c r="AE72" s="28">
        <f>G72*0.878787878787879</f>
        <v>0</v>
      </c>
      <c r="AF72" s="28">
        <f>G72*(1-0.878787878787879)</f>
        <v>0</v>
      </c>
      <c r="AM72" s="28">
        <f aca="true" t="shared" si="22" ref="AM72:AM84">F72*AE72</f>
        <v>0</v>
      </c>
      <c r="AN72" s="28">
        <f aca="true" t="shared" si="23" ref="AN72:AN84">F72*AF72</f>
        <v>0</v>
      </c>
      <c r="AO72" s="29" t="s">
        <v>310</v>
      </c>
      <c r="AP72" s="29" t="s">
        <v>327</v>
      </c>
      <c r="AQ72" s="17" t="s">
        <v>336</v>
      </c>
    </row>
    <row r="73" spans="1:43" ht="12">
      <c r="A73" s="50" t="s">
        <v>54</v>
      </c>
      <c r="B73" s="50" t="s">
        <v>85</v>
      </c>
      <c r="C73" s="50" t="s">
        <v>89</v>
      </c>
      <c r="D73" s="157" t="s">
        <v>180</v>
      </c>
      <c r="E73" s="50" t="s">
        <v>279</v>
      </c>
      <c r="F73" s="51">
        <v>0</v>
      </c>
      <c r="G73" s="26"/>
      <c r="H73" s="26"/>
      <c r="I73" s="26"/>
      <c r="J73" s="26"/>
      <c r="K73" s="26"/>
      <c r="L73" s="26"/>
      <c r="M73" s="27"/>
      <c r="N73" s="27" t="s">
        <v>7</v>
      </c>
      <c r="O73" s="26">
        <f t="shared" si="18"/>
        <v>0</v>
      </c>
      <c r="Z73" s="26">
        <f t="shared" si="19"/>
        <v>0</v>
      </c>
      <c r="AA73" s="26">
        <f t="shared" si="20"/>
        <v>0</v>
      </c>
      <c r="AB73" s="26">
        <f t="shared" si="21"/>
        <v>0</v>
      </c>
      <c r="AD73" s="28">
        <v>21</v>
      </c>
      <c r="AE73" s="28">
        <f>G73*0.852941176470588</f>
        <v>0</v>
      </c>
      <c r="AF73" s="28">
        <f>G73*(1-0.852941176470588)</f>
        <v>0</v>
      </c>
      <c r="AM73" s="28">
        <f t="shared" si="22"/>
        <v>0</v>
      </c>
      <c r="AN73" s="28">
        <f t="shared" si="23"/>
        <v>0</v>
      </c>
      <c r="AO73" s="29" t="s">
        <v>310</v>
      </c>
      <c r="AP73" s="29" t="s">
        <v>327</v>
      </c>
      <c r="AQ73" s="17" t="s">
        <v>336</v>
      </c>
    </row>
    <row r="74" spans="1:43" ht="12">
      <c r="A74" s="50" t="s">
        <v>55</v>
      </c>
      <c r="B74" s="50" t="s">
        <v>85</v>
      </c>
      <c r="C74" s="50" t="s">
        <v>141</v>
      </c>
      <c r="D74" s="157" t="s">
        <v>234</v>
      </c>
      <c r="E74" s="50" t="s">
        <v>279</v>
      </c>
      <c r="F74" s="51">
        <v>0</v>
      </c>
      <c r="G74" s="26"/>
      <c r="H74" s="26"/>
      <c r="I74" s="26"/>
      <c r="J74" s="26"/>
      <c r="K74" s="26"/>
      <c r="L74" s="26"/>
      <c r="M74" s="27"/>
      <c r="N74" s="27" t="s">
        <v>7</v>
      </c>
      <c r="O74" s="26">
        <f t="shared" si="18"/>
        <v>0</v>
      </c>
      <c r="Z74" s="26">
        <f t="shared" si="19"/>
        <v>0</v>
      </c>
      <c r="AA74" s="26">
        <f t="shared" si="20"/>
        <v>0</v>
      </c>
      <c r="AB74" s="26">
        <f t="shared" si="21"/>
        <v>0</v>
      </c>
      <c r="AD74" s="28">
        <v>21</v>
      </c>
      <c r="AE74" s="28">
        <f>G74*0.825174825174825</f>
        <v>0</v>
      </c>
      <c r="AF74" s="28">
        <f>G74*(1-0.825174825174825)</f>
        <v>0</v>
      </c>
      <c r="AM74" s="28">
        <f t="shared" si="22"/>
        <v>0</v>
      </c>
      <c r="AN74" s="28">
        <f t="shared" si="23"/>
        <v>0</v>
      </c>
      <c r="AO74" s="29" t="s">
        <v>310</v>
      </c>
      <c r="AP74" s="29" t="s">
        <v>327</v>
      </c>
      <c r="AQ74" s="17" t="s">
        <v>336</v>
      </c>
    </row>
    <row r="75" spans="1:43" ht="12">
      <c r="A75" s="50" t="s">
        <v>56</v>
      </c>
      <c r="B75" s="50" t="s">
        <v>85</v>
      </c>
      <c r="C75" s="50" t="s">
        <v>142</v>
      </c>
      <c r="D75" s="157" t="s">
        <v>235</v>
      </c>
      <c r="E75" s="50" t="s">
        <v>279</v>
      </c>
      <c r="F75" s="51">
        <v>0</v>
      </c>
      <c r="G75" s="26"/>
      <c r="H75" s="26"/>
      <c r="I75" s="26"/>
      <c r="J75" s="26"/>
      <c r="K75" s="26"/>
      <c r="L75" s="26"/>
      <c r="M75" s="27"/>
      <c r="N75" s="27" t="s">
        <v>7</v>
      </c>
      <c r="O75" s="26">
        <f t="shared" si="18"/>
        <v>0</v>
      </c>
      <c r="Z75" s="26">
        <f t="shared" si="19"/>
        <v>0</v>
      </c>
      <c r="AA75" s="26">
        <f t="shared" si="20"/>
        <v>0</v>
      </c>
      <c r="AB75" s="26">
        <f t="shared" si="21"/>
        <v>0</v>
      </c>
      <c r="AD75" s="28">
        <v>21</v>
      </c>
      <c r="AE75" s="28">
        <f>G75*0.939759036144578</f>
        <v>0</v>
      </c>
      <c r="AF75" s="28">
        <f>G75*(1-0.939759036144578)</f>
        <v>0</v>
      </c>
      <c r="AM75" s="28">
        <f t="shared" si="22"/>
        <v>0</v>
      </c>
      <c r="AN75" s="28">
        <f t="shared" si="23"/>
        <v>0</v>
      </c>
      <c r="AO75" s="29" t="s">
        <v>310</v>
      </c>
      <c r="AP75" s="29" t="s">
        <v>327</v>
      </c>
      <c r="AQ75" s="17" t="s">
        <v>336</v>
      </c>
    </row>
    <row r="76" spans="1:43" ht="12">
      <c r="A76" s="50" t="s">
        <v>57</v>
      </c>
      <c r="B76" s="50" t="s">
        <v>85</v>
      </c>
      <c r="C76" s="50" t="s">
        <v>143</v>
      </c>
      <c r="D76" s="157" t="s">
        <v>236</v>
      </c>
      <c r="E76" s="50" t="s">
        <v>279</v>
      </c>
      <c r="F76" s="51">
        <v>0</v>
      </c>
      <c r="G76" s="26"/>
      <c r="H76" s="26"/>
      <c r="I76" s="26"/>
      <c r="J76" s="26"/>
      <c r="K76" s="26"/>
      <c r="L76" s="26"/>
      <c r="M76" s="27"/>
      <c r="N76" s="27" t="s">
        <v>7</v>
      </c>
      <c r="O76" s="26">
        <f t="shared" si="18"/>
        <v>0</v>
      </c>
      <c r="Z76" s="26">
        <f t="shared" si="19"/>
        <v>0</v>
      </c>
      <c r="AA76" s="26">
        <f t="shared" si="20"/>
        <v>0</v>
      </c>
      <c r="AB76" s="26">
        <f t="shared" si="21"/>
        <v>0</v>
      </c>
      <c r="AD76" s="28">
        <v>21</v>
      </c>
      <c r="AE76" s="28">
        <f>G76*0.982238010657194</f>
        <v>0</v>
      </c>
      <c r="AF76" s="28">
        <f>G76*(1-0.982238010657194)</f>
        <v>0</v>
      </c>
      <c r="AM76" s="28">
        <f t="shared" si="22"/>
        <v>0</v>
      </c>
      <c r="AN76" s="28">
        <f t="shared" si="23"/>
        <v>0</v>
      </c>
      <c r="AO76" s="29" t="s">
        <v>310</v>
      </c>
      <c r="AP76" s="29" t="s">
        <v>327</v>
      </c>
      <c r="AQ76" s="17" t="s">
        <v>336</v>
      </c>
    </row>
    <row r="77" spans="1:43" ht="12">
      <c r="A77" s="50" t="s">
        <v>58</v>
      </c>
      <c r="B77" s="50" t="s">
        <v>85</v>
      </c>
      <c r="C77" s="50" t="s">
        <v>144</v>
      </c>
      <c r="D77" s="50" t="s">
        <v>237</v>
      </c>
      <c r="E77" s="50" t="s">
        <v>279</v>
      </c>
      <c r="F77" s="51">
        <v>0</v>
      </c>
      <c r="G77" s="26"/>
      <c r="H77" s="26"/>
      <c r="I77" s="26"/>
      <c r="J77" s="26"/>
      <c r="K77" s="26"/>
      <c r="L77" s="26"/>
      <c r="M77" s="27"/>
      <c r="N77" s="27" t="s">
        <v>7</v>
      </c>
      <c r="O77" s="26">
        <f t="shared" si="18"/>
        <v>0</v>
      </c>
      <c r="Z77" s="26">
        <f t="shared" si="19"/>
        <v>0</v>
      </c>
      <c r="AA77" s="26">
        <f t="shared" si="20"/>
        <v>0</v>
      </c>
      <c r="AB77" s="26">
        <f t="shared" si="21"/>
        <v>0</v>
      </c>
      <c r="AD77" s="28">
        <v>21</v>
      </c>
      <c r="AE77" s="28">
        <f>G77*0</f>
        <v>0</v>
      </c>
      <c r="AF77" s="28">
        <f>G77*(1-0)</f>
        <v>0</v>
      </c>
      <c r="AM77" s="28">
        <f t="shared" si="22"/>
        <v>0</v>
      </c>
      <c r="AN77" s="28">
        <f t="shared" si="23"/>
        <v>0</v>
      </c>
      <c r="AO77" s="29" t="s">
        <v>310</v>
      </c>
      <c r="AP77" s="29" t="s">
        <v>327</v>
      </c>
      <c r="AQ77" s="17" t="s">
        <v>336</v>
      </c>
    </row>
    <row r="78" spans="1:43" ht="12">
      <c r="A78" s="50" t="s">
        <v>59</v>
      </c>
      <c r="B78" s="50" t="s">
        <v>85</v>
      </c>
      <c r="C78" s="50" t="s">
        <v>145</v>
      </c>
      <c r="D78" s="157" t="s">
        <v>238</v>
      </c>
      <c r="E78" s="50" t="s">
        <v>279</v>
      </c>
      <c r="F78" s="51">
        <v>0</v>
      </c>
      <c r="G78" s="26"/>
      <c r="H78" s="26"/>
      <c r="I78" s="26"/>
      <c r="J78" s="26"/>
      <c r="K78" s="26"/>
      <c r="L78" s="26"/>
      <c r="M78" s="27"/>
      <c r="N78" s="27" t="s">
        <v>7</v>
      </c>
      <c r="O78" s="26">
        <f t="shared" si="18"/>
        <v>0</v>
      </c>
      <c r="Z78" s="26">
        <f t="shared" si="19"/>
        <v>0</v>
      </c>
      <c r="AA78" s="26">
        <f t="shared" si="20"/>
        <v>0</v>
      </c>
      <c r="AB78" s="26">
        <f t="shared" si="21"/>
        <v>0</v>
      </c>
      <c r="AD78" s="28">
        <v>21</v>
      </c>
      <c r="AE78" s="28">
        <f>G78*0.97134670487106</f>
        <v>0</v>
      </c>
      <c r="AF78" s="28">
        <f>G78*(1-0.97134670487106)</f>
        <v>0</v>
      </c>
      <c r="AM78" s="28">
        <f t="shared" si="22"/>
        <v>0</v>
      </c>
      <c r="AN78" s="28">
        <f t="shared" si="23"/>
        <v>0</v>
      </c>
      <c r="AO78" s="29" t="s">
        <v>310</v>
      </c>
      <c r="AP78" s="29" t="s">
        <v>327</v>
      </c>
      <c r="AQ78" s="17" t="s">
        <v>336</v>
      </c>
    </row>
    <row r="79" spans="1:43" ht="12">
      <c r="A79" s="25" t="s">
        <v>60</v>
      </c>
      <c r="B79" s="25" t="s">
        <v>85</v>
      </c>
      <c r="C79" s="25" t="s">
        <v>146</v>
      </c>
      <c r="D79" s="25" t="s">
        <v>401</v>
      </c>
      <c r="E79" s="25" t="s">
        <v>279</v>
      </c>
      <c r="F79" s="26">
        <v>29</v>
      </c>
      <c r="G79" s="26"/>
      <c r="H79" s="26"/>
      <c r="I79" s="26"/>
      <c r="J79" s="26"/>
      <c r="K79" s="26"/>
      <c r="L79" s="26"/>
      <c r="M79" s="27"/>
      <c r="N79" s="27" t="s">
        <v>7</v>
      </c>
      <c r="O79" s="26">
        <f t="shared" si="18"/>
        <v>0</v>
      </c>
      <c r="Z79" s="26">
        <f t="shared" si="19"/>
        <v>0</v>
      </c>
      <c r="AA79" s="26">
        <f t="shared" si="20"/>
        <v>0</v>
      </c>
      <c r="AB79" s="26">
        <f t="shared" si="21"/>
        <v>0</v>
      </c>
      <c r="AD79" s="28">
        <v>21</v>
      </c>
      <c r="AE79" s="28">
        <f>G79*0.894736842105263</f>
        <v>0</v>
      </c>
      <c r="AF79" s="28">
        <f>G79*(1-0.894736842105263)</f>
        <v>0</v>
      </c>
      <c r="AM79" s="28">
        <f t="shared" si="22"/>
        <v>0</v>
      </c>
      <c r="AN79" s="28">
        <f t="shared" si="23"/>
        <v>0</v>
      </c>
      <c r="AO79" s="29" t="s">
        <v>310</v>
      </c>
      <c r="AP79" s="29" t="s">
        <v>327</v>
      </c>
      <c r="AQ79" s="17" t="s">
        <v>336</v>
      </c>
    </row>
    <row r="80" spans="1:43" ht="12">
      <c r="A80" s="50" t="s">
        <v>61</v>
      </c>
      <c r="B80" s="50" t="s">
        <v>85</v>
      </c>
      <c r="C80" s="50" t="s">
        <v>147</v>
      </c>
      <c r="D80" s="157" t="s">
        <v>240</v>
      </c>
      <c r="E80" s="50" t="s">
        <v>279</v>
      </c>
      <c r="F80" s="51">
        <v>0</v>
      </c>
      <c r="G80" s="26"/>
      <c r="H80" s="26"/>
      <c r="I80" s="26"/>
      <c r="J80" s="26"/>
      <c r="K80" s="26"/>
      <c r="L80" s="26"/>
      <c r="M80" s="27"/>
      <c r="N80" s="27" t="s">
        <v>7</v>
      </c>
      <c r="O80" s="26">
        <f t="shared" si="18"/>
        <v>0</v>
      </c>
      <c r="Z80" s="26">
        <f t="shared" si="19"/>
        <v>0</v>
      </c>
      <c r="AA80" s="26">
        <f t="shared" si="20"/>
        <v>0</v>
      </c>
      <c r="AB80" s="26">
        <f t="shared" si="21"/>
        <v>0</v>
      </c>
      <c r="AD80" s="28">
        <v>21</v>
      </c>
      <c r="AE80" s="28">
        <f>G80*0.97682119205298</f>
        <v>0</v>
      </c>
      <c r="AF80" s="28">
        <f>G80*(1-0.97682119205298)</f>
        <v>0</v>
      </c>
      <c r="AM80" s="28">
        <f t="shared" si="22"/>
        <v>0</v>
      </c>
      <c r="AN80" s="28">
        <f t="shared" si="23"/>
        <v>0</v>
      </c>
      <c r="AO80" s="29" t="s">
        <v>310</v>
      </c>
      <c r="AP80" s="29" t="s">
        <v>327</v>
      </c>
      <c r="AQ80" s="17" t="s">
        <v>336</v>
      </c>
    </row>
    <row r="81" spans="1:43" ht="12">
      <c r="A81" s="50" t="s">
        <v>62</v>
      </c>
      <c r="B81" s="50" t="s">
        <v>85</v>
      </c>
      <c r="C81" s="50" t="s">
        <v>148</v>
      </c>
      <c r="D81" s="157" t="s">
        <v>241</v>
      </c>
      <c r="E81" s="50" t="s">
        <v>279</v>
      </c>
      <c r="F81" s="51">
        <v>0</v>
      </c>
      <c r="G81" s="26"/>
      <c r="H81" s="26"/>
      <c r="I81" s="26"/>
      <c r="J81" s="26"/>
      <c r="K81" s="26"/>
      <c r="L81" s="26"/>
      <c r="M81" s="27"/>
      <c r="N81" s="27" t="s">
        <v>7</v>
      </c>
      <c r="O81" s="26">
        <f t="shared" si="18"/>
        <v>0</v>
      </c>
      <c r="Z81" s="26">
        <f t="shared" si="19"/>
        <v>0</v>
      </c>
      <c r="AA81" s="26">
        <f t="shared" si="20"/>
        <v>0</v>
      </c>
      <c r="AB81" s="26">
        <f t="shared" si="21"/>
        <v>0</v>
      </c>
      <c r="AD81" s="28">
        <v>21</v>
      </c>
      <c r="AE81" s="28">
        <f>G81*1</f>
        <v>0</v>
      </c>
      <c r="AF81" s="28">
        <f>G81*(1-1)</f>
        <v>0</v>
      </c>
      <c r="AM81" s="28">
        <f t="shared" si="22"/>
        <v>0</v>
      </c>
      <c r="AN81" s="28">
        <f t="shared" si="23"/>
        <v>0</v>
      </c>
      <c r="AO81" s="29" t="s">
        <v>310</v>
      </c>
      <c r="AP81" s="29" t="s">
        <v>327</v>
      </c>
      <c r="AQ81" s="17" t="s">
        <v>336</v>
      </c>
    </row>
    <row r="82" spans="1:43" ht="12">
      <c r="A82" s="25" t="s">
        <v>63</v>
      </c>
      <c r="B82" s="25" t="s">
        <v>85</v>
      </c>
      <c r="C82" s="25" t="s">
        <v>149</v>
      </c>
      <c r="D82" s="25" t="s">
        <v>242</v>
      </c>
      <c r="E82" s="25" t="s">
        <v>279</v>
      </c>
      <c r="F82" s="26">
        <v>1</v>
      </c>
      <c r="G82" s="26"/>
      <c r="H82" s="26"/>
      <c r="I82" s="26"/>
      <c r="J82" s="26"/>
      <c r="K82" s="26"/>
      <c r="L82" s="26"/>
      <c r="M82" s="27"/>
      <c r="N82" s="27" t="s">
        <v>7</v>
      </c>
      <c r="O82" s="26">
        <f t="shared" si="18"/>
        <v>0</v>
      </c>
      <c r="Z82" s="26">
        <f t="shared" si="19"/>
        <v>0</v>
      </c>
      <c r="AA82" s="26">
        <f t="shared" si="20"/>
        <v>0</v>
      </c>
      <c r="AB82" s="26">
        <f t="shared" si="21"/>
        <v>0</v>
      </c>
      <c r="AD82" s="28">
        <v>21</v>
      </c>
      <c r="AE82" s="28">
        <f>G82*0.955752212389381</f>
        <v>0</v>
      </c>
      <c r="AF82" s="28">
        <f>G82*(1-0.955752212389381)</f>
        <v>0</v>
      </c>
      <c r="AM82" s="28">
        <f t="shared" si="22"/>
        <v>0</v>
      </c>
      <c r="AN82" s="28">
        <f t="shared" si="23"/>
        <v>0</v>
      </c>
      <c r="AO82" s="29" t="s">
        <v>310</v>
      </c>
      <c r="AP82" s="29" t="s">
        <v>327</v>
      </c>
      <c r="AQ82" s="17" t="s">
        <v>336</v>
      </c>
    </row>
    <row r="83" spans="1:43" ht="12">
      <c r="A83" s="25" t="s">
        <v>64</v>
      </c>
      <c r="B83" s="25" t="s">
        <v>85</v>
      </c>
      <c r="C83" s="25" t="s">
        <v>150</v>
      </c>
      <c r="D83" s="25" t="s">
        <v>243</v>
      </c>
      <c r="E83" s="25" t="s">
        <v>279</v>
      </c>
      <c r="F83" s="26">
        <v>1</v>
      </c>
      <c r="G83" s="26"/>
      <c r="H83" s="26"/>
      <c r="I83" s="26"/>
      <c r="J83" s="26"/>
      <c r="K83" s="26"/>
      <c r="L83" s="26"/>
      <c r="M83" s="27"/>
      <c r="N83" s="27" t="s">
        <v>7</v>
      </c>
      <c r="O83" s="26">
        <f t="shared" si="18"/>
        <v>0</v>
      </c>
      <c r="Z83" s="26">
        <f t="shared" si="19"/>
        <v>0</v>
      </c>
      <c r="AA83" s="26">
        <f t="shared" si="20"/>
        <v>0</v>
      </c>
      <c r="AB83" s="26">
        <f t="shared" si="21"/>
        <v>0</v>
      </c>
      <c r="AD83" s="28">
        <v>21</v>
      </c>
      <c r="AE83" s="28">
        <f>G83*0.962162162162162</f>
        <v>0</v>
      </c>
      <c r="AF83" s="28">
        <f>G83*(1-0.962162162162162)</f>
        <v>0</v>
      </c>
      <c r="AM83" s="28">
        <f t="shared" si="22"/>
        <v>0</v>
      </c>
      <c r="AN83" s="28">
        <f t="shared" si="23"/>
        <v>0</v>
      </c>
      <c r="AO83" s="29" t="s">
        <v>310</v>
      </c>
      <c r="AP83" s="29" t="s">
        <v>327</v>
      </c>
      <c r="AQ83" s="17" t="s">
        <v>336</v>
      </c>
    </row>
    <row r="84" spans="1:43" ht="12">
      <c r="A84" s="25" t="s">
        <v>65</v>
      </c>
      <c r="B84" s="25" t="s">
        <v>85</v>
      </c>
      <c r="C84" s="25" t="s">
        <v>151</v>
      </c>
      <c r="D84" s="25" t="s">
        <v>244</v>
      </c>
      <c r="E84" s="25" t="s">
        <v>279</v>
      </c>
      <c r="F84" s="26">
        <v>1</v>
      </c>
      <c r="G84" s="26"/>
      <c r="H84" s="26"/>
      <c r="I84" s="26"/>
      <c r="J84" s="26"/>
      <c r="K84" s="26"/>
      <c r="L84" s="26"/>
      <c r="M84" s="27"/>
      <c r="N84" s="27" t="s">
        <v>7</v>
      </c>
      <c r="O84" s="26">
        <f t="shared" si="18"/>
        <v>0</v>
      </c>
      <c r="Z84" s="26">
        <f t="shared" si="19"/>
        <v>0</v>
      </c>
      <c r="AA84" s="26">
        <f t="shared" si="20"/>
        <v>0</v>
      </c>
      <c r="AB84" s="26">
        <f t="shared" si="21"/>
        <v>0</v>
      </c>
      <c r="AD84" s="28">
        <v>21</v>
      </c>
      <c r="AE84" s="28">
        <f>G84*0.907127429805616</f>
        <v>0</v>
      </c>
      <c r="AF84" s="28">
        <f>G84*(1-0.907127429805616)</f>
        <v>0</v>
      </c>
      <c r="AM84" s="28">
        <f t="shared" si="22"/>
        <v>0</v>
      </c>
      <c r="AN84" s="28">
        <f t="shared" si="23"/>
        <v>0</v>
      </c>
      <c r="AO84" s="29" t="s">
        <v>310</v>
      </c>
      <c r="AP84" s="29" t="s">
        <v>327</v>
      </c>
      <c r="AQ84" s="17" t="s">
        <v>336</v>
      </c>
    </row>
    <row r="85" spans="1:37" ht="12">
      <c r="A85" s="22"/>
      <c r="B85" s="23" t="s">
        <v>85</v>
      </c>
      <c r="C85" s="23" t="s">
        <v>152</v>
      </c>
      <c r="D85" s="198" t="s">
        <v>245</v>
      </c>
      <c r="E85" s="199"/>
      <c r="F85" s="199"/>
      <c r="G85" s="199"/>
      <c r="H85" s="24">
        <f>SUM(H86:H89)</f>
        <v>0</v>
      </c>
      <c r="I85" s="24">
        <f>SUM(I86:I89)</f>
        <v>0</v>
      </c>
      <c r="J85" s="24">
        <f>H85+I85</f>
        <v>0</v>
      </c>
      <c r="K85" s="17"/>
      <c r="L85" s="24">
        <f>SUM(L86:L89)</f>
        <v>0</v>
      </c>
      <c r="M85" s="17"/>
      <c r="P85" s="24">
        <f>IF(Q85="PR",J85,SUM(O86:O89))</f>
        <v>0</v>
      </c>
      <c r="Q85" s="17" t="s">
        <v>299</v>
      </c>
      <c r="R85" s="24">
        <f>IF(Q85="HS",H85,0)</f>
        <v>0</v>
      </c>
      <c r="S85" s="24">
        <f>IF(Q85="HS",I85-P85,0)</f>
        <v>0</v>
      </c>
      <c r="T85" s="24">
        <f>IF(Q85="PS",H85,0)</f>
        <v>0</v>
      </c>
      <c r="U85" s="24">
        <f>IF(Q85="PS",I85-P85,0)</f>
        <v>0</v>
      </c>
      <c r="V85" s="24">
        <f>IF(Q85="MP",H85,0)</f>
        <v>0</v>
      </c>
      <c r="W85" s="24">
        <f>IF(Q85="MP",I85-P85,0)</f>
        <v>0</v>
      </c>
      <c r="X85" s="24">
        <f>IF(Q85="OM",H85,0)</f>
        <v>0</v>
      </c>
      <c r="Y85" s="17" t="s">
        <v>85</v>
      </c>
      <c r="AI85" s="24">
        <f>SUM(Z86:Z89)</f>
        <v>0</v>
      </c>
      <c r="AJ85" s="24">
        <f>SUM(AA86:AA89)</f>
        <v>0</v>
      </c>
      <c r="AK85" s="24">
        <f>SUM(AB86:AB89)</f>
        <v>0</v>
      </c>
    </row>
    <row r="86" spans="1:43" ht="12">
      <c r="A86" s="25" t="s">
        <v>66</v>
      </c>
      <c r="B86" s="25" t="s">
        <v>85</v>
      </c>
      <c r="C86" s="25" t="s">
        <v>153</v>
      </c>
      <c r="D86" s="25" t="s">
        <v>246</v>
      </c>
      <c r="E86" s="25" t="s">
        <v>272</v>
      </c>
      <c r="F86" s="26">
        <v>117.7</v>
      </c>
      <c r="G86" s="26"/>
      <c r="H86" s="26"/>
      <c r="I86" s="26"/>
      <c r="J86" s="26"/>
      <c r="K86" s="26"/>
      <c r="L86" s="26"/>
      <c r="M86" s="27" t="s">
        <v>385</v>
      </c>
      <c r="N86" s="27" t="s">
        <v>7</v>
      </c>
      <c r="O86" s="26">
        <f>IF(N86="5",I86,0)</f>
        <v>0</v>
      </c>
      <c r="Z86" s="26">
        <f>IF(AD86=0,J86,0)</f>
        <v>0</v>
      </c>
      <c r="AA86" s="26">
        <f>IF(AD86=15,J86,0)</f>
        <v>0</v>
      </c>
      <c r="AB86" s="26">
        <f>IF(AD86=21,J86,0)</f>
        <v>0</v>
      </c>
      <c r="AD86" s="28">
        <v>21</v>
      </c>
      <c r="AE86" s="28">
        <f>G86*0</f>
        <v>0</v>
      </c>
      <c r="AF86" s="28">
        <f>G86*(1-0)</f>
        <v>0</v>
      </c>
      <c r="AM86" s="28">
        <f>F86*AE86</f>
        <v>0</v>
      </c>
      <c r="AN86" s="28">
        <f>F86*AF86</f>
        <v>0</v>
      </c>
      <c r="AO86" s="29" t="s">
        <v>321</v>
      </c>
      <c r="AP86" s="29" t="s">
        <v>327</v>
      </c>
      <c r="AQ86" s="17" t="s">
        <v>336</v>
      </c>
    </row>
    <row r="87" spans="1:43" ht="12">
      <c r="A87" s="25" t="s">
        <v>67</v>
      </c>
      <c r="B87" s="25" t="s">
        <v>85</v>
      </c>
      <c r="C87" s="25" t="s">
        <v>154</v>
      </c>
      <c r="D87" s="25" t="s">
        <v>247</v>
      </c>
      <c r="E87" s="25" t="s">
        <v>272</v>
      </c>
      <c r="F87" s="26">
        <v>1.8</v>
      </c>
      <c r="G87" s="26"/>
      <c r="H87" s="26"/>
      <c r="I87" s="26"/>
      <c r="J87" s="26"/>
      <c r="K87" s="26"/>
      <c r="L87" s="26"/>
      <c r="M87" s="27" t="s">
        <v>385</v>
      </c>
      <c r="N87" s="27" t="s">
        <v>7</v>
      </c>
      <c r="O87" s="26">
        <f>IF(N87="5",I87,0)</f>
        <v>0</v>
      </c>
      <c r="Z87" s="26">
        <f>IF(AD87=0,J87,0)</f>
        <v>0</v>
      </c>
      <c r="AA87" s="26">
        <f>IF(AD87=15,J87,0)</f>
        <v>0</v>
      </c>
      <c r="AB87" s="26">
        <f>IF(AD87=21,J87,0)</f>
        <v>0</v>
      </c>
      <c r="AD87" s="28">
        <v>21</v>
      </c>
      <c r="AE87" s="28">
        <f>G87*0.108159540176318</f>
        <v>0</v>
      </c>
      <c r="AF87" s="28">
        <f>G87*(1-0.108159540176318)</f>
        <v>0</v>
      </c>
      <c r="AM87" s="28">
        <f>F87*AE87</f>
        <v>0</v>
      </c>
      <c r="AN87" s="28">
        <f>F87*AF87</f>
        <v>0</v>
      </c>
      <c r="AO87" s="29" t="s">
        <v>321</v>
      </c>
      <c r="AP87" s="29" t="s">
        <v>327</v>
      </c>
      <c r="AQ87" s="17" t="s">
        <v>336</v>
      </c>
    </row>
    <row r="88" spans="1:43" ht="12">
      <c r="A88" s="25" t="s">
        <v>68</v>
      </c>
      <c r="B88" s="25" t="s">
        <v>85</v>
      </c>
      <c r="C88" s="25" t="s">
        <v>155</v>
      </c>
      <c r="D88" s="25" t="s">
        <v>248</v>
      </c>
      <c r="E88" s="25" t="s">
        <v>272</v>
      </c>
      <c r="F88" s="26">
        <v>2.2</v>
      </c>
      <c r="G88" s="26"/>
      <c r="H88" s="26"/>
      <c r="I88" s="26"/>
      <c r="J88" s="26"/>
      <c r="K88" s="26"/>
      <c r="L88" s="26"/>
      <c r="M88" s="27" t="s">
        <v>385</v>
      </c>
      <c r="N88" s="27" t="s">
        <v>7</v>
      </c>
      <c r="O88" s="26">
        <f>IF(N88="5",I88,0)</f>
        <v>0</v>
      </c>
      <c r="Z88" s="26">
        <f>IF(AD88=0,J88,0)</f>
        <v>0</v>
      </c>
      <c r="AA88" s="26">
        <f>IF(AD88=15,J88,0)</f>
        <v>0</v>
      </c>
      <c r="AB88" s="26">
        <f>IF(AD88=21,J88,0)</f>
        <v>0</v>
      </c>
      <c r="AD88" s="28">
        <v>21</v>
      </c>
      <c r="AE88" s="28">
        <f>G88*0.11905</f>
        <v>0</v>
      </c>
      <c r="AF88" s="28">
        <f>G88*(1-0.11905)</f>
        <v>0</v>
      </c>
      <c r="AM88" s="28">
        <f>F88*AE88</f>
        <v>0</v>
      </c>
      <c r="AN88" s="28">
        <f>F88*AF88</f>
        <v>0</v>
      </c>
      <c r="AO88" s="29" t="s">
        <v>321</v>
      </c>
      <c r="AP88" s="29" t="s">
        <v>327</v>
      </c>
      <c r="AQ88" s="17" t="s">
        <v>336</v>
      </c>
    </row>
    <row r="89" spans="1:43" ht="12">
      <c r="A89" s="25" t="s">
        <v>69</v>
      </c>
      <c r="B89" s="25" t="s">
        <v>85</v>
      </c>
      <c r="C89" s="25" t="s">
        <v>156</v>
      </c>
      <c r="D89" s="25" t="s">
        <v>249</v>
      </c>
      <c r="E89" s="25" t="s">
        <v>274</v>
      </c>
      <c r="F89" s="26">
        <v>2</v>
      </c>
      <c r="G89" s="26"/>
      <c r="H89" s="26"/>
      <c r="I89" s="26"/>
      <c r="J89" s="26"/>
      <c r="K89" s="26"/>
      <c r="L89" s="26"/>
      <c r="M89" s="27" t="s">
        <v>385</v>
      </c>
      <c r="N89" s="27" t="s">
        <v>7</v>
      </c>
      <c r="O89" s="26">
        <f>IF(N89="5",I89,0)</f>
        <v>0</v>
      </c>
      <c r="Z89" s="26">
        <f>IF(AD89=0,J89,0)</f>
        <v>0</v>
      </c>
      <c r="AA89" s="26">
        <f>IF(AD89=15,J89,0)</f>
        <v>0</v>
      </c>
      <c r="AB89" s="26">
        <f>IF(AD89=21,J89,0)</f>
        <v>0</v>
      </c>
      <c r="AD89" s="28">
        <v>21</v>
      </c>
      <c r="AE89" s="28">
        <f>G89*0</f>
        <v>0</v>
      </c>
      <c r="AF89" s="28">
        <f>G89*(1-0)</f>
        <v>0</v>
      </c>
      <c r="AM89" s="28">
        <f>F89*AE89</f>
        <v>0</v>
      </c>
      <c r="AN89" s="28">
        <f>F89*AF89</f>
        <v>0</v>
      </c>
      <c r="AO89" s="29" t="s">
        <v>321</v>
      </c>
      <c r="AP89" s="29" t="s">
        <v>327</v>
      </c>
      <c r="AQ89" s="17" t="s">
        <v>336</v>
      </c>
    </row>
    <row r="90" spans="1:37" ht="12">
      <c r="A90" s="22"/>
      <c r="B90" s="23" t="s">
        <v>85</v>
      </c>
      <c r="C90" s="23" t="s">
        <v>157</v>
      </c>
      <c r="D90" s="198" t="s">
        <v>250</v>
      </c>
      <c r="E90" s="199"/>
      <c r="F90" s="199"/>
      <c r="G90" s="199"/>
      <c r="H90" s="24">
        <f>SUM(H91:H92)</f>
        <v>0</v>
      </c>
      <c r="I90" s="24">
        <f>SUM(I91:I92)</f>
        <v>0</v>
      </c>
      <c r="J90" s="24">
        <f>H90+I90</f>
        <v>0</v>
      </c>
      <c r="K90" s="17"/>
      <c r="L90" s="24">
        <f>SUM(L91:L92)</f>
        <v>0</v>
      </c>
      <c r="M90" s="27"/>
      <c r="P90" s="24">
        <f>IF(Q90="PR",J90,SUM(O91:O92))</f>
        <v>0</v>
      </c>
      <c r="Q90" s="17" t="s">
        <v>299</v>
      </c>
      <c r="R90" s="24">
        <f>IF(Q90="HS",H90,0)</f>
        <v>0</v>
      </c>
      <c r="S90" s="24">
        <f>IF(Q90="HS",I90-P90,0)</f>
        <v>0</v>
      </c>
      <c r="T90" s="24">
        <f>IF(Q90="PS",H90,0)</f>
        <v>0</v>
      </c>
      <c r="U90" s="24">
        <f>IF(Q90="PS",I90-P90,0)</f>
        <v>0</v>
      </c>
      <c r="V90" s="24">
        <f>IF(Q90="MP",H90,0)</f>
        <v>0</v>
      </c>
      <c r="W90" s="24">
        <f>IF(Q90="MP",I90-P90,0)</f>
        <v>0</v>
      </c>
      <c r="X90" s="24">
        <f>IF(Q90="OM",H90,0)</f>
        <v>0</v>
      </c>
      <c r="Y90" s="17" t="s">
        <v>85</v>
      </c>
      <c r="AI90" s="24">
        <f>SUM(Z91:Z92)</f>
        <v>0</v>
      </c>
      <c r="AJ90" s="24">
        <f>SUM(AA91:AA92)</f>
        <v>0</v>
      </c>
      <c r="AK90" s="24">
        <f>SUM(AB91:AB92)</f>
        <v>0</v>
      </c>
    </row>
    <row r="91" spans="1:43" ht="12">
      <c r="A91" s="25" t="s">
        <v>70</v>
      </c>
      <c r="B91" s="25" t="s">
        <v>85</v>
      </c>
      <c r="C91" s="25" t="s">
        <v>158</v>
      </c>
      <c r="D91" s="25" t="s">
        <v>251</v>
      </c>
      <c r="E91" s="25" t="s">
        <v>272</v>
      </c>
      <c r="F91" s="26">
        <v>14.1</v>
      </c>
      <c r="G91" s="26"/>
      <c r="H91" s="26"/>
      <c r="I91" s="26"/>
      <c r="J91" s="26"/>
      <c r="K91" s="26"/>
      <c r="L91" s="26"/>
      <c r="M91" s="27" t="s">
        <v>385</v>
      </c>
      <c r="N91" s="27" t="s">
        <v>7</v>
      </c>
      <c r="O91" s="26">
        <f>IF(N91="5",I91,0)</f>
        <v>0</v>
      </c>
      <c r="Z91" s="26">
        <f>IF(AD91=0,J91,0)</f>
        <v>0</v>
      </c>
      <c r="AA91" s="26">
        <f>IF(AD91=15,J91,0)</f>
        <v>0</v>
      </c>
      <c r="AB91" s="26">
        <f>IF(AD91=21,J91,0)</f>
        <v>0</v>
      </c>
      <c r="AD91" s="28">
        <v>21</v>
      </c>
      <c r="AE91" s="28">
        <f>G91*0</f>
        <v>0</v>
      </c>
      <c r="AF91" s="28">
        <f>G91*(1-0)</f>
        <v>0</v>
      </c>
      <c r="AM91" s="28">
        <f>F91*AE91</f>
        <v>0</v>
      </c>
      <c r="AN91" s="28">
        <f>F91*AF91</f>
        <v>0</v>
      </c>
      <c r="AO91" s="29" t="s">
        <v>322</v>
      </c>
      <c r="AP91" s="29" t="s">
        <v>327</v>
      </c>
      <c r="AQ91" s="17" t="s">
        <v>336</v>
      </c>
    </row>
    <row r="92" spans="1:43" ht="12">
      <c r="A92" s="25" t="s">
        <v>71</v>
      </c>
      <c r="B92" s="25" t="s">
        <v>85</v>
      </c>
      <c r="C92" s="25" t="s">
        <v>159</v>
      </c>
      <c r="D92" s="25" t="s">
        <v>252</v>
      </c>
      <c r="E92" s="25" t="s">
        <v>272</v>
      </c>
      <c r="F92" s="26">
        <v>101.38</v>
      </c>
      <c r="G92" s="26"/>
      <c r="H92" s="26"/>
      <c r="I92" s="26"/>
      <c r="J92" s="26"/>
      <c r="K92" s="26"/>
      <c r="L92" s="26"/>
      <c r="M92" s="27" t="s">
        <v>385</v>
      </c>
      <c r="N92" s="27" t="s">
        <v>7</v>
      </c>
      <c r="O92" s="26">
        <f>IF(N92="5",I92,0)</f>
        <v>0</v>
      </c>
      <c r="Z92" s="26">
        <f>IF(AD92=0,J92,0)</f>
        <v>0</v>
      </c>
      <c r="AA92" s="26">
        <f>IF(AD92=15,J92,0)</f>
        <v>0</v>
      </c>
      <c r="AB92" s="26">
        <f>IF(AD92=21,J92,0)</f>
        <v>0</v>
      </c>
      <c r="AD92" s="28">
        <v>21</v>
      </c>
      <c r="AE92" s="28">
        <f>G92*0</f>
        <v>0</v>
      </c>
      <c r="AF92" s="28">
        <f>G92*(1-0)</f>
        <v>0</v>
      </c>
      <c r="AM92" s="28">
        <f>F92*AE92</f>
        <v>0</v>
      </c>
      <c r="AN92" s="28">
        <f>F92*AF92</f>
        <v>0</v>
      </c>
      <c r="AO92" s="29" t="s">
        <v>322</v>
      </c>
      <c r="AP92" s="29" t="s">
        <v>327</v>
      </c>
      <c r="AQ92" s="17" t="s">
        <v>336</v>
      </c>
    </row>
    <row r="93" spans="1:37" ht="12">
      <c r="A93" s="22"/>
      <c r="B93" s="23" t="s">
        <v>85</v>
      </c>
      <c r="C93" s="23" t="s">
        <v>160</v>
      </c>
      <c r="D93" s="198" t="s">
        <v>253</v>
      </c>
      <c r="E93" s="199"/>
      <c r="F93" s="199"/>
      <c r="G93" s="199"/>
      <c r="H93" s="24">
        <f>SUM(H94:H94)</f>
        <v>0</v>
      </c>
      <c r="I93" s="24">
        <f>SUM(I94:I94)</f>
        <v>0</v>
      </c>
      <c r="J93" s="24">
        <f>H93+I93</f>
        <v>0</v>
      </c>
      <c r="K93" s="17"/>
      <c r="L93" s="24">
        <f>SUM(L94:L94)</f>
        <v>0</v>
      </c>
      <c r="M93" s="27"/>
      <c r="P93" s="24">
        <f>IF(Q93="PR",J93,SUM(O94:O94))</f>
        <v>0</v>
      </c>
      <c r="Q93" s="17" t="s">
        <v>299</v>
      </c>
      <c r="R93" s="24">
        <f>IF(Q93="HS",H93,0)</f>
        <v>0</v>
      </c>
      <c r="S93" s="24">
        <f>IF(Q93="HS",I93-P93,0)</f>
        <v>0</v>
      </c>
      <c r="T93" s="24">
        <f>IF(Q93="PS",H93,0)</f>
        <v>0</v>
      </c>
      <c r="U93" s="24">
        <f>IF(Q93="PS",I93-P93,0)</f>
        <v>0</v>
      </c>
      <c r="V93" s="24">
        <f>IF(Q93="MP",H93,0)</f>
        <v>0</v>
      </c>
      <c r="W93" s="24">
        <f>IF(Q93="MP",I93-P93,0)</f>
        <v>0</v>
      </c>
      <c r="X93" s="24">
        <f>IF(Q93="OM",H93,0)</f>
        <v>0</v>
      </c>
      <c r="Y93" s="17" t="s">
        <v>85</v>
      </c>
      <c r="AI93" s="24">
        <f>SUM(Z94:Z94)</f>
        <v>0</v>
      </c>
      <c r="AJ93" s="24">
        <f>SUM(AA94:AA94)</f>
        <v>0</v>
      </c>
      <c r="AK93" s="24">
        <f>SUM(AB94:AB94)</f>
        <v>0</v>
      </c>
    </row>
    <row r="94" spans="1:43" ht="12">
      <c r="A94" s="25" t="s">
        <v>72</v>
      </c>
      <c r="B94" s="25" t="s">
        <v>85</v>
      </c>
      <c r="C94" s="25" t="s">
        <v>161</v>
      </c>
      <c r="D94" s="25" t="s">
        <v>254</v>
      </c>
      <c r="E94" s="25" t="s">
        <v>276</v>
      </c>
      <c r="F94" s="26">
        <v>8.48</v>
      </c>
      <c r="G94" s="26"/>
      <c r="H94" s="26"/>
      <c r="I94" s="26"/>
      <c r="J94" s="26"/>
      <c r="K94" s="26"/>
      <c r="L94" s="26"/>
      <c r="M94" s="27" t="s">
        <v>385</v>
      </c>
      <c r="N94" s="27" t="s">
        <v>11</v>
      </c>
      <c r="O94" s="26">
        <f>IF(N94="5",I94,0)</f>
        <v>0</v>
      </c>
      <c r="Z94" s="26">
        <f>IF(AD94=0,J94,0)</f>
        <v>0</v>
      </c>
      <c r="AA94" s="26">
        <f>IF(AD94=15,J94,0)</f>
        <v>0</v>
      </c>
      <c r="AB94" s="26">
        <f>IF(AD94=21,J94,0)</f>
        <v>0</v>
      </c>
      <c r="AD94" s="28">
        <v>21</v>
      </c>
      <c r="AE94" s="28">
        <f>G94*0</f>
        <v>0</v>
      </c>
      <c r="AF94" s="28">
        <f>G94*(1-0)</f>
        <v>0</v>
      </c>
      <c r="AM94" s="28">
        <f>F94*AE94</f>
        <v>0</v>
      </c>
      <c r="AN94" s="28">
        <f>F94*AF94</f>
        <v>0</v>
      </c>
      <c r="AO94" s="29" t="s">
        <v>323</v>
      </c>
      <c r="AP94" s="29" t="s">
        <v>327</v>
      </c>
      <c r="AQ94" s="17" t="s">
        <v>336</v>
      </c>
    </row>
    <row r="95" spans="1:37" ht="12">
      <c r="A95" s="22"/>
      <c r="B95" s="23" t="s">
        <v>85</v>
      </c>
      <c r="C95" s="23" t="s">
        <v>162</v>
      </c>
      <c r="D95" s="198" t="s">
        <v>255</v>
      </c>
      <c r="E95" s="199"/>
      <c r="F95" s="199"/>
      <c r="G95" s="199"/>
      <c r="H95" s="24">
        <f>SUM(H96:H100)</f>
        <v>0</v>
      </c>
      <c r="I95" s="24">
        <f>SUM(I96:I100)</f>
        <v>0</v>
      </c>
      <c r="J95" s="24">
        <f>H95+I95</f>
        <v>0</v>
      </c>
      <c r="K95" s="17"/>
      <c r="L95" s="24">
        <f>SUM(L96:L100)</f>
        <v>0</v>
      </c>
      <c r="M95" s="27"/>
      <c r="P95" s="24">
        <f>IF(Q95="PR",J95,SUM(O96:O100))</f>
        <v>0</v>
      </c>
      <c r="Q95" s="17" t="s">
        <v>299</v>
      </c>
      <c r="R95" s="24">
        <f>IF(Q95="HS",H95,0)</f>
        <v>0</v>
      </c>
      <c r="S95" s="24">
        <f>IF(Q95="HS",I95-P95,0)</f>
        <v>0</v>
      </c>
      <c r="T95" s="24">
        <f>IF(Q95="PS",H95,0)</f>
        <v>0</v>
      </c>
      <c r="U95" s="24">
        <f>IF(Q95="PS",I95-P95,0)</f>
        <v>0</v>
      </c>
      <c r="V95" s="24">
        <f>IF(Q95="MP",H95,0)</f>
        <v>0</v>
      </c>
      <c r="W95" s="24">
        <f>IF(Q95="MP",I95-P95,0)</f>
        <v>0</v>
      </c>
      <c r="X95" s="24">
        <f>IF(Q95="OM",H95,0)</f>
        <v>0</v>
      </c>
      <c r="Y95" s="17" t="s">
        <v>85</v>
      </c>
      <c r="AI95" s="24">
        <f>SUM(Z96:Z100)</f>
        <v>0</v>
      </c>
      <c r="AJ95" s="24">
        <f>SUM(AA96:AA100)</f>
        <v>0</v>
      </c>
      <c r="AK95" s="24">
        <f>SUM(AB96:AB100)</f>
        <v>0</v>
      </c>
    </row>
    <row r="96" spans="1:43" ht="12">
      <c r="A96" s="25" t="s">
        <v>73</v>
      </c>
      <c r="B96" s="25" t="s">
        <v>85</v>
      </c>
      <c r="C96" s="25" t="s">
        <v>163</v>
      </c>
      <c r="D96" s="25" t="s">
        <v>256</v>
      </c>
      <c r="E96" s="25" t="s">
        <v>276</v>
      </c>
      <c r="F96" s="26">
        <v>7.34</v>
      </c>
      <c r="G96" s="26"/>
      <c r="H96" s="26"/>
      <c r="I96" s="26"/>
      <c r="J96" s="26"/>
      <c r="K96" s="26"/>
      <c r="L96" s="26"/>
      <c r="M96" s="27" t="s">
        <v>385</v>
      </c>
      <c r="N96" s="27" t="s">
        <v>11</v>
      </c>
      <c r="O96" s="26">
        <f>IF(N96="5",I96,0)</f>
        <v>0</v>
      </c>
      <c r="Z96" s="26">
        <f>IF(AD96=0,J96,0)</f>
        <v>0</v>
      </c>
      <c r="AA96" s="26">
        <f>IF(AD96=15,J96,0)</f>
        <v>0</v>
      </c>
      <c r="AB96" s="26">
        <f>IF(AD96=21,J96,0)</f>
        <v>0</v>
      </c>
      <c r="AD96" s="28">
        <v>21</v>
      </c>
      <c r="AE96" s="28">
        <f>G96*0</f>
        <v>0</v>
      </c>
      <c r="AF96" s="28">
        <f>G96*(1-0)</f>
        <v>0</v>
      </c>
      <c r="AM96" s="28">
        <f>F96*AE96</f>
        <v>0</v>
      </c>
      <c r="AN96" s="28">
        <f>F96*AF96</f>
        <v>0</v>
      </c>
      <c r="AO96" s="29" t="s">
        <v>324</v>
      </c>
      <c r="AP96" s="29" t="s">
        <v>327</v>
      </c>
      <c r="AQ96" s="17" t="s">
        <v>336</v>
      </c>
    </row>
    <row r="97" spans="1:43" ht="12">
      <c r="A97" s="25" t="s">
        <v>74</v>
      </c>
      <c r="B97" s="25" t="s">
        <v>85</v>
      </c>
      <c r="C97" s="25" t="s">
        <v>164</v>
      </c>
      <c r="D97" s="25" t="s">
        <v>257</v>
      </c>
      <c r="E97" s="25" t="s">
        <v>276</v>
      </c>
      <c r="F97" s="26">
        <v>22.02</v>
      </c>
      <c r="G97" s="26"/>
      <c r="H97" s="26"/>
      <c r="I97" s="26"/>
      <c r="J97" s="26"/>
      <c r="K97" s="26"/>
      <c r="L97" s="26"/>
      <c r="M97" s="27" t="s">
        <v>385</v>
      </c>
      <c r="N97" s="27" t="s">
        <v>11</v>
      </c>
      <c r="O97" s="26">
        <f>IF(N97="5",I97,0)</f>
        <v>0</v>
      </c>
      <c r="Z97" s="26">
        <f>IF(AD97=0,J97,0)</f>
        <v>0</v>
      </c>
      <c r="AA97" s="26">
        <f>IF(AD97=15,J97,0)</f>
        <v>0</v>
      </c>
      <c r="AB97" s="26">
        <f>IF(AD97=21,J97,0)</f>
        <v>0</v>
      </c>
      <c r="AD97" s="28">
        <v>21</v>
      </c>
      <c r="AE97" s="28">
        <f>G97*0</f>
        <v>0</v>
      </c>
      <c r="AF97" s="28">
        <f>G97*(1-0)</f>
        <v>0</v>
      </c>
      <c r="AM97" s="28">
        <f>F97*AE97</f>
        <v>0</v>
      </c>
      <c r="AN97" s="28">
        <f>F97*AF97</f>
        <v>0</v>
      </c>
      <c r="AO97" s="29" t="s">
        <v>324</v>
      </c>
      <c r="AP97" s="29" t="s">
        <v>327</v>
      </c>
      <c r="AQ97" s="17" t="s">
        <v>336</v>
      </c>
    </row>
    <row r="98" spans="1:43" ht="12">
      <c r="A98" s="25" t="s">
        <v>75</v>
      </c>
      <c r="B98" s="25" t="s">
        <v>85</v>
      </c>
      <c r="C98" s="25" t="s">
        <v>165</v>
      </c>
      <c r="D98" s="25" t="s">
        <v>258</v>
      </c>
      <c r="E98" s="25" t="s">
        <v>276</v>
      </c>
      <c r="F98" s="26">
        <v>7.34</v>
      </c>
      <c r="G98" s="26"/>
      <c r="H98" s="26"/>
      <c r="I98" s="26"/>
      <c r="J98" s="26"/>
      <c r="K98" s="26"/>
      <c r="L98" s="26"/>
      <c r="M98" s="27" t="s">
        <v>385</v>
      </c>
      <c r="N98" s="27" t="s">
        <v>11</v>
      </c>
      <c r="O98" s="26">
        <f>IF(N98="5",I98,0)</f>
        <v>0</v>
      </c>
      <c r="Z98" s="26">
        <f>IF(AD98=0,J98,0)</f>
        <v>0</v>
      </c>
      <c r="AA98" s="26">
        <f>IF(AD98=15,J98,0)</f>
        <v>0</v>
      </c>
      <c r="AB98" s="26">
        <f>IF(AD98=21,J98,0)</f>
        <v>0</v>
      </c>
      <c r="AD98" s="28">
        <v>21</v>
      </c>
      <c r="AE98" s="28">
        <f>G98*0</f>
        <v>0</v>
      </c>
      <c r="AF98" s="28">
        <f>G98*(1-0)</f>
        <v>0</v>
      </c>
      <c r="AM98" s="28">
        <f>F98*AE98</f>
        <v>0</v>
      </c>
      <c r="AN98" s="28">
        <f>F98*AF98</f>
        <v>0</v>
      </c>
      <c r="AO98" s="29" t="s">
        <v>324</v>
      </c>
      <c r="AP98" s="29" t="s">
        <v>327</v>
      </c>
      <c r="AQ98" s="17" t="s">
        <v>336</v>
      </c>
    </row>
    <row r="99" spans="1:43" ht="12">
      <c r="A99" s="25" t="s">
        <v>76</v>
      </c>
      <c r="B99" s="25" t="s">
        <v>85</v>
      </c>
      <c r="C99" s="25" t="s">
        <v>166</v>
      </c>
      <c r="D99" s="25" t="s">
        <v>259</v>
      </c>
      <c r="E99" s="25" t="s">
        <v>276</v>
      </c>
      <c r="F99" s="26">
        <v>14.68</v>
      </c>
      <c r="G99" s="26"/>
      <c r="H99" s="26"/>
      <c r="I99" s="26"/>
      <c r="J99" s="26"/>
      <c r="K99" s="26"/>
      <c r="L99" s="26"/>
      <c r="M99" s="27" t="s">
        <v>385</v>
      </c>
      <c r="N99" s="27" t="s">
        <v>11</v>
      </c>
      <c r="O99" s="26">
        <f>IF(N99="5",I99,0)</f>
        <v>0</v>
      </c>
      <c r="Z99" s="26">
        <f>IF(AD99=0,J99,0)</f>
        <v>0</v>
      </c>
      <c r="AA99" s="26">
        <f>IF(AD99=15,J99,0)</f>
        <v>0</v>
      </c>
      <c r="AB99" s="26">
        <f>IF(AD99=21,J99,0)</f>
        <v>0</v>
      </c>
      <c r="AD99" s="28">
        <v>21</v>
      </c>
      <c r="AE99" s="28">
        <f>G99*0</f>
        <v>0</v>
      </c>
      <c r="AF99" s="28">
        <f>G99*(1-0)</f>
        <v>0</v>
      </c>
      <c r="AM99" s="28">
        <f>F99*AE99</f>
        <v>0</v>
      </c>
      <c r="AN99" s="28">
        <f>F99*AF99</f>
        <v>0</v>
      </c>
      <c r="AO99" s="29" t="s">
        <v>324</v>
      </c>
      <c r="AP99" s="29" t="s">
        <v>327</v>
      </c>
      <c r="AQ99" s="17" t="s">
        <v>336</v>
      </c>
    </row>
    <row r="100" spans="1:43" ht="12">
      <c r="A100" s="25" t="s">
        <v>77</v>
      </c>
      <c r="B100" s="25" t="s">
        <v>85</v>
      </c>
      <c r="C100" s="25" t="s">
        <v>167</v>
      </c>
      <c r="D100" s="25" t="s">
        <v>260</v>
      </c>
      <c r="E100" s="25" t="s">
        <v>276</v>
      </c>
      <c r="F100" s="26">
        <v>7.34</v>
      </c>
      <c r="G100" s="26"/>
      <c r="H100" s="26"/>
      <c r="I100" s="26"/>
      <c r="J100" s="26"/>
      <c r="K100" s="26"/>
      <c r="L100" s="26"/>
      <c r="M100" s="27" t="s">
        <v>385</v>
      </c>
      <c r="N100" s="27" t="s">
        <v>11</v>
      </c>
      <c r="O100" s="26">
        <f>IF(N100="5",I100,0)</f>
        <v>0</v>
      </c>
      <c r="Z100" s="26">
        <f>IF(AD100=0,J100,0)</f>
        <v>0</v>
      </c>
      <c r="AA100" s="26">
        <f>IF(AD100=15,J100,0)</f>
        <v>0</v>
      </c>
      <c r="AB100" s="26">
        <f>IF(AD100=21,J100,0)</f>
        <v>0</v>
      </c>
      <c r="AD100" s="28">
        <v>21</v>
      </c>
      <c r="AE100" s="28">
        <f>G100*0</f>
        <v>0</v>
      </c>
      <c r="AF100" s="28">
        <f>G100*(1-0)</f>
        <v>0</v>
      </c>
      <c r="AM100" s="28">
        <f>F100*AE100</f>
        <v>0</v>
      </c>
      <c r="AN100" s="28">
        <f>F100*AF100</f>
        <v>0</v>
      </c>
      <c r="AO100" s="29" t="s">
        <v>324</v>
      </c>
      <c r="AP100" s="29" t="s">
        <v>327</v>
      </c>
      <c r="AQ100" s="17" t="s">
        <v>336</v>
      </c>
    </row>
    <row r="101" spans="1:13" ht="9" customHeight="1">
      <c r="A101" s="30"/>
      <c r="B101" s="31" t="s">
        <v>86</v>
      </c>
      <c r="C101" s="31"/>
      <c r="D101" s="202" t="s">
        <v>261</v>
      </c>
      <c r="E101" s="203"/>
      <c r="F101" s="203"/>
      <c r="G101" s="203"/>
      <c r="H101" s="32">
        <f>H102+H104</f>
        <v>0</v>
      </c>
      <c r="I101" s="32">
        <f>I102+I104</f>
        <v>0</v>
      </c>
      <c r="J101" s="32">
        <f>H101+I101</f>
        <v>0</v>
      </c>
      <c r="K101" s="33"/>
      <c r="L101" s="32">
        <f>L102+L104</f>
        <v>0</v>
      </c>
      <c r="M101" s="33"/>
    </row>
    <row r="102" spans="1:37" ht="10.5" customHeight="1">
      <c r="A102" s="22"/>
      <c r="B102" s="23" t="s">
        <v>86</v>
      </c>
      <c r="C102" s="23" t="s">
        <v>168</v>
      </c>
      <c r="D102" s="198" t="s">
        <v>262</v>
      </c>
      <c r="E102" s="199"/>
      <c r="F102" s="199"/>
      <c r="G102" s="199"/>
      <c r="H102" s="24">
        <f>SUM(H103:H103)</f>
        <v>0</v>
      </c>
      <c r="I102" s="24">
        <f>SUM(I103:I103)</f>
        <v>0</v>
      </c>
      <c r="J102" s="24">
        <f>H102+I102</f>
        <v>0</v>
      </c>
      <c r="K102" s="17"/>
      <c r="L102" s="24">
        <f>SUM(L103:L103)</f>
        <v>0</v>
      </c>
      <c r="M102" s="17"/>
      <c r="P102" s="24">
        <f>IF(Q102="PR",J102,SUM(O103:O103))</f>
        <v>0</v>
      </c>
      <c r="Q102" s="17" t="s">
        <v>301</v>
      </c>
      <c r="R102" s="24">
        <f>IF(Q102="HS",H102,0)</f>
        <v>0</v>
      </c>
      <c r="S102" s="24">
        <f>IF(Q102="HS",I102-P102,0)</f>
        <v>0</v>
      </c>
      <c r="T102" s="24">
        <f>IF(Q102="PS",H102,0)</f>
        <v>0</v>
      </c>
      <c r="U102" s="24">
        <f>IF(Q102="PS",I102-P102,0)</f>
        <v>0</v>
      </c>
      <c r="V102" s="24">
        <f>IF(Q102="MP",H102,0)</f>
        <v>0</v>
      </c>
      <c r="W102" s="24">
        <f>IF(Q102="MP",I102-P102,0)</f>
        <v>0</v>
      </c>
      <c r="X102" s="24">
        <f>IF(Q102="OM",H102,0)</f>
        <v>0</v>
      </c>
      <c r="Y102" s="17" t="s">
        <v>86</v>
      </c>
      <c r="AI102" s="24">
        <f>SUM(Z103:Z103)</f>
        <v>0</v>
      </c>
      <c r="AJ102" s="24">
        <f>SUM(AA103:AA103)</f>
        <v>0</v>
      </c>
      <c r="AK102" s="24">
        <f>SUM(AB103:AB103)</f>
        <v>0</v>
      </c>
    </row>
    <row r="103" spans="1:43" ht="24">
      <c r="A103" s="25" t="s">
        <v>78</v>
      </c>
      <c r="B103" s="25" t="s">
        <v>86</v>
      </c>
      <c r="C103" s="25" t="s">
        <v>169</v>
      </c>
      <c r="D103" s="53" t="s">
        <v>402</v>
      </c>
      <c r="E103" s="25" t="s">
        <v>392</v>
      </c>
      <c r="F103" s="26">
        <v>1</v>
      </c>
      <c r="G103" s="26"/>
      <c r="H103" s="26"/>
      <c r="I103" s="26"/>
      <c r="J103" s="26"/>
      <c r="K103" s="26"/>
      <c r="L103" s="26"/>
      <c r="M103" s="27"/>
      <c r="N103" s="27" t="s">
        <v>8</v>
      </c>
      <c r="O103" s="26">
        <f>IF(N103="5",I103,0)</f>
        <v>0</v>
      </c>
      <c r="Z103" s="26">
        <f>IF(AD103=0,J103,0)</f>
        <v>0</v>
      </c>
      <c r="AA103" s="26">
        <f>IF(AD103=15,J103,0)</f>
        <v>0</v>
      </c>
      <c r="AB103" s="26">
        <f>IF(AD103=21,J103,0)</f>
        <v>0</v>
      </c>
      <c r="AD103" s="28">
        <v>21</v>
      </c>
      <c r="AE103" s="28">
        <f>G103*0</f>
        <v>0</v>
      </c>
      <c r="AF103" s="28">
        <f>G103*(1-0)</f>
        <v>0</v>
      </c>
      <c r="AM103" s="28">
        <f>F103*AE103</f>
        <v>0</v>
      </c>
      <c r="AN103" s="28">
        <f>F103*AF103</f>
        <v>0</v>
      </c>
      <c r="AO103" s="29" t="s">
        <v>325</v>
      </c>
      <c r="AP103" s="29" t="s">
        <v>327</v>
      </c>
      <c r="AQ103" s="17" t="s">
        <v>337</v>
      </c>
    </row>
    <row r="104" spans="1:37" ht="12">
      <c r="A104" s="22"/>
      <c r="B104" s="23" t="s">
        <v>86</v>
      </c>
      <c r="C104" s="23"/>
      <c r="D104" s="198" t="s">
        <v>264</v>
      </c>
      <c r="E104" s="198"/>
      <c r="F104" s="198"/>
      <c r="G104" s="198"/>
      <c r="H104" s="24">
        <f>SUM(H105:H105)</f>
        <v>0</v>
      </c>
      <c r="I104" s="24">
        <f>SUM(I105:I105)</f>
        <v>0</v>
      </c>
      <c r="J104" s="24">
        <f>H104+I104</f>
        <v>0</v>
      </c>
      <c r="K104" s="17"/>
      <c r="L104" s="24">
        <f>SUM(L105:L105)</f>
        <v>0</v>
      </c>
      <c r="M104" s="17"/>
      <c r="P104" s="24">
        <f>IF(Q104="PR",J104,SUM(O105:O105))</f>
        <v>0</v>
      </c>
      <c r="Q104" s="17" t="s">
        <v>302</v>
      </c>
      <c r="R104" s="24">
        <f>IF(Q104="HS",H104,0)</f>
        <v>0</v>
      </c>
      <c r="S104" s="24">
        <f>IF(Q104="HS",I104-P104,0)</f>
        <v>0</v>
      </c>
      <c r="T104" s="24">
        <f>IF(Q104="PS",H104,0)</f>
        <v>0</v>
      </c>
      <c r="U104" s="24">
        <f>IF(Q104="PS",I104-P104,0)</f>
        <v>0</v>
      </c>
      <c r="V104" s="24">
        <f>IF(Q104="MP",H104,0)</f>
        <v>0</v>
      </c>
      <c r="W104" s="24">
        <f>IF(Q104="MP",I104-P104,0)</f>
        <v>0</v>
      </c>
      <c r="X104" s="24">
        <f>IF(Q104="OM",H104,0)</f>
        <v>0</v>
      </c>
      <c r="Y104" s="17" t="s">
        <v>86</v>
      </c>
      <c r="AI104" s="24">
        <f>SUM(Z105:Z105)</f>
        <v>0</v>
      </c>
      <c r="AJ104" s="24">
        <f>SUM(AA105:AA105)</f>
        <v>0</v>
      </c>
      <c r="AK104" s="24">
        <f>SUM(AB105:AB105)</f>
        <v>0</v>
      </c>
    </row>
    <row r="105" spans="1:43" ht="12">
      <c r="A105" s="155" t="s">
        <v>79</v>
      </c>
      <c r="B105" s="155" t="s">
        <v>86</v>
      </c>
      <c r="C105" s="155" t="s">
        <v>170</v>
      </c>
      <c r="D105" s="155" t="s">
        <v>403</v>
      </c>
      <c r="E105" s="155" t="s">
        <v>392</v>
      </c>
      <c r="F105" s="156">
        <v>0</v>
      </c>
      <c r="G105" s="35"/>
      <c r="H105" s="35"/>
      <c r="I105" s="35"/>
      <c r="J105" s="35"/>
      <c r="K105" s="35"/>
      <c r="L105" s="35"/>
      <c r="M105" s="36"/>
      <c r="N105" s="36" t="s">
        <v>296</v>
      </c>
      <c r="O105" s="35">
        <f>IF(N105="5",I105,0)</f>
        <v>0</v>
      </c>
      <c r="Z105" s="35">
        <f>IF(AD105=0,J105,0)</f>
        <v>0</v>
      </c>
      <c r="AA105" s="35">
        <f>IF(AD105=15,J105,0)</f>
        <v>0</v>
      </c>
      <c r="AB105" s="35">
        <f>IF(AD105=21,J105,0)</f>
        <v>0</v>
      </c>
      <c r="AD105" s="28">
        <v>21</v>
      </c>
      <c r="AE105" s="28">
        <f>G105*1</f>
        <v>0</v>
      </c>
      <c r="AF105" s="28">
        <f>G105*(1-1)</f>
        <v>0</v>
      </c>
      <c r="AM105" s="28">
        <f>F105*AE105</f>
        <v>0</v>
      </c>
      <c r="AN105" s="28">
        <f>F105*AF105</f>
        <v>0</v>
      </c>
      <c r="AO105" s="29" t="s">
        <v>326</v>
      </c>
      <c r="AP105" s="29" t="s">
        <v>334</v>
      </c>
      <c r="AQ105" s="17" t="s">
        <v>337</v>
      </c>
    </row>
    <row r="106" spans="1:13" ht="9.75" customHeight="1">
      <c r="A106" s="30"/>
      <c r="B106" s="31"/>
      <c r="C106" s="31"/>
      <c r="D106" s="202" t="s">
        <v>176</v>
      </c>
      <c r="E106" s="203"/>
      <c r="F106" s="203"/>
      <c r="G106" s="203"/>
      <c r="H106" s="32">
        <f>H107</f>
        <v>0</v>
      </c>
      <c r="I106" s="32">
        <f>I107</f>
        <v>0</v>
      </c>
      <c r="J106" s="32">
        <f>H106+I106</f>
        <v>0</v>
      </c>
      <c r="K106" s="33"/>
      <c r="L106" s="32">
        <f>L107</f>
        <v>0</v>
      </c>
      <c r="M106" s="33"/>
    </row>
    <row r="107" spans="1:37" ht="11.25" customHeight="1">
      <c r="A107" s="22"/>
      <c r="B107" s="23"/>
      <c r="C107" s="23" t="s">
        <v>88</v>
      </c>
      <c r="D107" s="198" t="s">
        <v>177</v>
      </c>
      <c r="E107" s="199"/>
      <c r="F107" s="199"/>
      <c r="G107" s="199"/>
      <c r="H107" s="24">
        <f>SUM(H108:H109)</f>
        <v>0</v>
      </c>
      <c r="I107" s="24">
        <f>SUM(I108:I109)</f>
        <v>0</v>
      </c>
      <c r="J107" s="24">
        <f>H107+I107</f>
        <v>0</v>
      </c>
      <c r="K107" s="17"/>
      <c r="L107" s="24">
        <f>SUM(L108:L109)</f>
        <v>0</v>
      </c>
      <c r="M107" s="17"/>
      <c r="P107" s="24">
        <f>IF(Q107="PR",J107,SUM(O108:O109))</f>
        <v>0</v>
      </c>
      <c r="Q107" s="17" t="s">
        <v>299</v>
      </c>
      <c r="R107" s="24">
        <f>IF(Q107="HS",H107,0)</f>
        <v>0</v>
      </c>
      <c r="S107" s="24">
        <f>IF(Q107="HS",I107-P107,0)</f>
        <v>0</v>
      </c>
      <c r="T107" s="24">
        <f>IF(Q107="PS",H107,0)</f>
        <v>0</v>
      </c>
      <c r="U107" s="24">
        <f>IF(Q107="PS",I107-P107,0)</f>
        <v>0</v>
      </c>
      <c r="V107" s="24">
        <f>IF(Q107="MP",H107,0)</f>
        <v>0</v>
      </c>
      <c r="W107" s="24">
        <f>IF(Q107="MP",I107-P107,0)</f>
        <v>0</v>
      </c>
      <c r="X107" s="24">
        <f>IF(Q107="OM",H107,0)</f>
        <v>0</v>
      </c>
      <c r="Y107" s="17"/>
      <c r="AI107" s="24">
        <f>SUM(Z108:Z109)</f>
        <v>0</v>
      </c>
      <c r="AJ107" s="24">
        <f>SUM(AA108:AA109)</f>
        <v>0</v>
      </c>
      <c r="AK107" s="24">
        <f>SUM(AB108:AB109)</f>
        <v>0</v>
      </c>
    </row>
    <row r="108" spans="1:43" ht="12">
      <c r="A108" s="50" t="s">
        <v>80</v>
      </c>
      <c r="B108" s="50"/>
      <c r="C108" s="50" t="s">
        <v>90</v>
      </c>
      <c r="D108" s="157" t="s">
        <v>179</v>
      </c>
      <c r="E108" s="50" t="s">
        <v>271</v>
      </c>
      <c r="F108" s="51">
        <v>0</v>
      </c>
      <c r="G108" s="26"/>
      <c r="H108" s="26"/>
      <c r="I108" s="26"/>
      <c r="J108" s="26"/>
      <c r="K108" s="26"/>
      <c r="L108" s="26"/>
      <c r="M108" s="27"/>
      <c r="N108" s="27" t="s">
        <v>7</v>
      </c>
      <c r="O108" s="26">
        <f>IF(N108="5",I108,0)</f>
        <v>0</v>
      </c>
      <c r="Z108" s="26">
        <f>IF(AD108=0,J108,0)</f>
        <v>0</v>
      </c>
      <c r="AA108" s="26">
        <f>IF(AD108=15,J108,0)</f>
        <v>0</v>
      </c>
      <c r="AB108" s="26">
        <f>IF(AD108=21,J108,0)</f>
        <v>0</v>
      </c>
      <c r="AD108" s="28">
        <v>21</v>
      </c>
      <c r="AE108" s="28">
        <f>G108*0.878787878787879</f>
        <v>0</v>
      </c>
      <c r="AF108" s="28">
        <f>G108*(1-0.878787878787879)</f>
        <v>0</v>
      </c>
      <c r="AM108" s="28">
        <f>F108*AE108</f>
        <v>0</v>
      </c>
      <c r="AN108" s="28">
        <f>F108*AF108</f>
        <v>0</v>
      </c>
      <c r="AO108" s="29" t="s">
        <v>310</v>
      </c>
      <c r="AP108" s="29" t="s">
        <v>327</v>
      </c>
      <c r="AQ108" s="17" t="s">
        <v>338</v>
      </c>
    </row>
    <row r="109" spans="1:43" ht="12">
      <c r="A109" s="50" t="s">
        <v>81</v>
      </c>
      <c r="B109" s="50"/>
      <c r="C109" s="50" t="s">
        <v>90</v>
      </c>
      <c r="D109" s="157" t="s">
        <v>179</v>
      </c>
      <c r="E109" s="50" t="s">
        <v>271</v>
      </c>
      <c r="F109" s="51">
        <v>0</v>
      </c>
      <c r="G109" s="26"/>
      <c r="H109" s="26"/>
      <c r="I109" s="26"/>
      <c r="J109" s="26"/>
      <c r="K109" s="26"/>
      <c r="L109" s="26"/>
      <c r="M109" s="27"/>
      <c r="N109" s="27" t="s">
        <v>7</v>
      </c>
      <c r="O109" s="26">
        <f>IF(N109="5",I109,0)</f>
        <v>0</v>
      </c>
      <c r="Z109" s="26">
        <f>IF(AD109=0,J109,0)</f>
        <v>0</v>
      </c>
      <c r="AA109" s="26">
        <f>IF(AD109=15,J109,0)</f>
        <v>0</v>
      </c>
      <c r="AB109" s="26">
        <f>IF(AD109=21,J109,0)</f>
        <v>0</v>
      </c>
      <c r="AD109" s="28">
        <v>21</v>
      </c>
      <c r="AE109" s="28">
        <f>G109*0.878787878787879</f>
        <v>0</v>
      </c>
      <c r="AF109" s="28">
        <f>G109*(1-0.878787878787879)</f>
        <v>0</v>
      </c>
      <c r="AM109" s="28">
        <f>F109*AE109</f>
        <v>0</v>
      </c>
      <c r="AN109" s="28">
        <f>F109*AF109</f>
        <v>0</v>
      </c>
      <c r="AO109" s="29" t="s">
        <v>310</v>
      </c>
      <c r="AP109" s="29" t="s">
        <v>327</v>
      </c>
      <c r="AQ109" s="17" t="s">
        <v>338</v>
      </c>
    </row>
    <row r="110" spans="1:43" ht="12">
      <c r="A110" s="25" t="s">
        <v>393</v>
      </c>
      <c r="B110" s="25"/>
      <c r="C110" s="25"/>
      <c r="D110" s="49" t="s">
        <v>390</v>
      </c>
      <c r="E110" s="25" t="s">
        <v>391</v>
      </c>
      <c r="F110" s="26">
        <v>1</v>
      </c>
      <c r="G110" s="26"/>
      <c r="H110" s="26"/>
      <c r="I110" s="26"/>
      <c r="J110" s="26"/>
      <c r="K110" s="26"/>
      <c r="L110" s="26"/>
      <c r="M110" s="27"/>
      <c r="N110" s="27"/>
      <c r="O110" s="26"/>
      <c r="Z110" s="26"/>
      <c r="AA110" s="26"/>
      <c r="AB110" s="26"/>
      <c r="AD110" s="28"/>
      <c r="AE110" s="28"/>
      <c r="AF110" s="28"/>
      <c r="AM110" s="28"/>
      <c r="AN110" s="28"/>
      <c r="AO110" s="29"/>
      <c r="AP110" s="29"/>
      <c r="AQ110" s="17"/>
    </row>
    <row r="111" spans="1:28" ht="12">
      <c r="A111" s="37"/>
      <c r="B111" s="37"/>
      <c r="C111" s="37"/>
      <c r="D111" s="37"/>
      <c r="E111" s="37"/>
      <c r="F111" s="37"/>
      <c r="G111" s="37"/>
      <c r="H111" s="204" t="s">
        <v>286</v>
      </c>
      <c r="I111" s="205"/>
      <c r="J111" s="38">
        <f>J13+J18+J20+J26+J29+J32+J37+J44+J56+J64+J69+J71+J85+J90+J93+J95+J102+J104+J107</f>
        <v>0</v>
      </c>
      <c r="K111" s="37"/>
      <c r="L111" s="37"/>
      <c r="M111" s="37"/>
      <c r="Z111" s="39">
        <f>SUM(Z13:Z109)</f>
        <v>0</v>
      </c>
      <c r="AA111" s="39">
        <f>SUM(AA13:AA109)</f>
        <v>0</v>
      </c>
      <c r="AB111" s="39">
        <f>SUM(AB13:AB109)</f>
        <v>0</v>
      </c>
    </row>
    <row r="112" ht="11.25" customHeight="1">
      <c r="A112" s="3"/>
    </row>
    <row r="113" spans="1:13" ht="409.5" customHeight="1" hidden="1">
      <c r="A113" s="190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</row>
  </sheetData>
  <sheetProtection/>
  <mergeCells count="53">
    <mergeCell ref="A113:M113"/>
    <mergeCell ref="J8:K9"/>
    <mergeCell ref="L8:M9"/>
    <mergeCell ref="D104:G104"/>
    <mergeCell ref="D106:G106"/>
    <mergeCell ref="D107:G107"/>
    <mergeCell ref="H111:I111"/>
    <mergeCell ref="D93:G93"/>
    <mergeCell ref="D95:G95"/>
    <mergeCell ref="D101:G101"/>
    <mergeCell ref="D102:G102"/>
    <mergeCell ref="D69:G69"/>
    <mergeCell ref="D71:G71"/>
    <mergeCell ref="D85:G85"/>
    <mergeCell ref="D90:G90"/>
    <mergeCell ref="D37:G37"/>
    <mergeCell ref="D44:G44"/>
    <mergeCell ref="D56:G56"/>
    <mergeCell ref="D64:G64"/>
    <mergeCell ref="D20:G20"/>
    <mergeCell ref="D26:G26"/>
    <mergeCell ref="D29:G29"/>
    <mergeCell ref="D32:G32"/>
    <mergeCell ref="D12:G12"/>
    <mergeCell ref="D13:G13"/>
    <mergeCell ref="D17:G17"/>
    <mergeCell ref="D18:G18"/>
    <mergeCell ref="A4:C5"/>
    <mergeCell ref="D4:D5"/>
    <mergeCell ref="E4:F5"/>
    <mergeCell ref="I8:I9"/>
    <mergeCell ref="H10:J10"/>
    <mergeCell ref="K10:L10"/>
    <mergeCell ref="A8:C9"/>
    <mergeCell ref="D8:D9"/>
    <mergeCell ref="E8:F9"/>
    <mergeCell ref="G8:H9"/>
    <mergeCell ref="A6:C7"/>
    <mergeCell ref="D6:D7"/>
    <mergeCell ref="E6:F7"/>
    <mergeCell ref="G6:H7"/>
    <mergeCell ref="I6:I7"/>
    <mergeCell ref="J6:M7"/>
    <mergeCell ref="G4:H5"/>
    <mergeCell ref="A1:M1"/>
    <mergeCell ref="A2:C3"/>
    <mergeCell ref="D2:D3"/>
    <mergeCell ref="E2:F3"/>
    <mergeCell ref="G2:H3"/>
    <mergeCell ref="I2:I3"/>
    <mergeCell ref="J2:M3"/>
    <mergeCell ref="I4:I5"/>
    <mergeCell ref="J4:M5"/>
  </mergeCells>
  <printOptions/>
  <pageMargins left="0.3937007874015748" right="0.3937007874015748" top="0.5118110236220472" bottom="0.5118110236220472" header="0.5118110236220472" footer="0.5118110236220472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PageLayoutView="0" workbookViewId="0" topLeftCell="A46">
      <selection activeCell="C94" sqref="C94"/>
    </sheetView>
  </sheetViews>
  <sheetFormatPr defaultColWidth="9.140625" defaultRowHeight="12.75"/>
  <cols>
    <col min="1" max="1" width="6.140625" style="58" customWidth="1"/>
    <col min="2" max="2" width="14.00390625" style="58" customWidth="1"/>
    <col min="3" max="3" width="55.57421875" style="58" customWidth="1"/>
    <col min="4" max="4" width="5.8515625" style="58" customWidth="1"/>
    <col min="5" max="5" width="12.421875" style="58" customWidth="1"/>
    <col min="6" max="6" width="12.57421875" style="58" customWidth="1"/>
    <col min="7" max="7" width="12.28125" style="58" customWidth="1"/>
    <col min="8" max="8" width="6.7109375" style="58" hidden="1" customWidth="1"/>
    <col min="9" max="9" width="9.421875" style="58" hidden="1" customWidth="1"/>
    <col min="10" max="10" width="5.421875" style="134" hidden="1" customWidth="1"/>
    <col min="11" max="11" width="5.421875" style="58" hidden="1" customWidth="1"/>
    <col min="12" max="12" width="9.140625" style="58" hidden="1" customWidth="1"/>
    <col min="13" max="13" width="4.57421875" style="58" hidden="1" customWidth="1"/>
    <col min="14" max="16384" width="9.140625" style="58" customWidth="1"/>
  </cols>
  <sheetData>
    <row r="1" spans="1:10" ht="15">
      <c r="A1" s="54"/>
      <c r="B1" s="55" t="s">
        <v>404</v>
      </c>
      <c r="C1" s="54"/>
      <c r="D1" s="54"/>
      <c r="E1" s="54"/>
      <c r="F1" s="56" t="s">
        <v>487</v>
      </c>
      <c r="H1" s="54"/>
      <c r="I1" s="54"/>
      <c r="J1" s="57"/>
    </row>
    <row r="2" spans="1:10" ht="15">
      <c r="A2" s="54"/>
      <c r="B2" s="55" t="s">
        <v>405</v>
      </c>
      <c r="C2" s="54"/>
      <c r="D2" s="54"/>
      <c r="E2" s="54"/>
      <c r="F2" s="54"/>
      <c r="G2" s="54"/>
      <c r="H2" s="54"/>
      <c r="I2" s="54"/>
      <c r="J2" s="57"/>
    </row>
    <row r="3" spans="1:10" ht="15">
      <c r="A3" s="54"/>
      <c r="B3" s="55" t="s">
        <v>406</v>
      </c>
      <c r="C3" s="54"/>
      <c r="D3" s="54"/>
      <c r="E3" s="54"/>
      <c r="F3" s="54"/>
      <c r="G3" s="54"/>
      <c r="H3" s="54"/>
      <c r="I3" s="54"/>
      <c r="J3" s="57"/>
    </row>
    <row r="4" spans="1:10" ht="15.75" thickBot="1">
      <c r="A4" s="54"/>
      <c r="B4" s="55"/>
      <c r="C4" s="54"/>
      <c r="D4" s="54"/>
      <c r="E4" s="54"/>
      <c r="F4" s="54"/>
      <c r="G4" s="54"/>
      <c r="H4" s="54"/>
      <c r="I4" s="54"/>
      <c r="J4" s="57"/>
    </row>
    <row r="5" spans="1:10" s="61" customFormat="1" ht="33.75" customHeight="1" thickBot="1">
      <c r="A5" s="163" t="s">
        <v>407</v>
      </c>
      <c r="B5" s="164"/>
      <c r="C5" s="164"/>
      <c r="D5" s="164"/>
      <c r="E5" s="164"/>
      <c r="F5" s="164"/>
      <c r="G5" s="165"/>
      <c r="H5" s="59"/>
      <c r="I5" s="59"/>
      <c r="J5" s="60"/>
    </row>
    <row r="6" spans="1:13" ht="15.75" thickBot="1">
      <c r="A6" s="62" t="s">
        <v>408</v>
      </c>
      <c r="B6" s="63" t="s">
        <v>409</v>
      </c>
      <c r="C6" s="64" t="s">
        <v>410</v>
      </c>
      <c r="D6" s="64" t="s">
        <v>411</v>
      </c>
      <c r="E6" s="65" t="s">
        <v>412</v>
      </c>
      <c r="F6" s="65" t="s">
        <v>413</v>
      </c>
      <c r="G6" s="166" t="s">
        <v>414</v>
      </c>
      <c r="H6" s="158" t="s">
        <v>415</v>
      </c>
      <c r="I6" s="66" t="s">
        <v>416</v>
      </c>
      <c r="J6" s="67" t="s">
        <v>417</v>
      </c>
      <c r="K6" s="58" t="s">
        <v>418</v>
      </c>
      <c r="L6" s="58" t="s">
        <v>419</v>
      </c>
      <c r="M6" s="58" t="s">
        <v>420</v>
      </c>
    </row>
    <row r="7" spans="1:10" s="75" customFormat="1" ht="19.5" customHeight="1">
      <c r="A7" s="68" t="s">
        <v>421</v>
      </c>
      <c r="B7" s="69"/>
      <c r="C7" s="70"/>
      <c r="D7" s="70"/>
      <c r="E7" s="71"/>
      <c r="F7" s="71"/>
      <c r="G7" s="167"/>
      <c r="H7" s="72"/>
      <c r="I7" s="73"/>
      <c r="J7" s="74"/>
    </row>
    <row r="8" spans="1:13" ht="36" customHeight="1">
      <c r="A8" s="76">
        <v>1</v>
      </c>
      <c r="B8" s="77">
        <v>509202</v>
      </c>
      <c r="C8" s="78" t="s">
        <v>422</v>
      </c>
      <c r="D8" s="79" t="s">
        <v>279</v>
      </c>
      <c r="E8" s="80">
        <v>15</v>
      </c>
      <c r="F8" s="80"/>
      <c r="G8" s="168">
        <f>E8*F8</f>
        <v>0</v>
      </c>
      <c r="H8" s="159"/>
      <c r="I8" s="81"/>
      <c r="J8" s="82" t="s">
        <v>162</v>
      </c>
      <c r="K8" s="58" t="s">
        <v>423</v>
      </c>
      <c r="M8" s="83" t="s">
        <v>424</v>
      </c>
    </row>
    <row r="9" spans="1:13" ht="30">
      <c r="A9" s="76">
        <v>2</v>
      </c>
      <c r="B9" s="77">
        <v>509316</v>
      </c>
      <c r="C9" s="78" t="s">
        <v>425</v>
      </c>
      <c r="D9" s="79" t="s">
        <v>279</v>
      </c>
      <c r="E9" s="80">
        <v>4</v>
      </c>
      <c r="F9" s="80"/>
      <c r="G9" s="168">
        <f>E9*F9</f>
        <v>0</v>
      </c>
      <c r="H9" s="159"/>
      <c r="I9" s="81"/>
      <c r="J9" s="82" t="s">
        <v>162</v>
      </c>
      <c r="K9" s="58" t="s">
        <v>423</v>
      </c>
      <c r="M9" s="83" t="s">
        <v>424</v>
      </c>
    </row>
    <row r="10" spans="1:13" ht="30.75" thickBot="1">
      <c r="A10" s="84">
        <v>3</v>
      </c>
      <c r="B10" s="85">
        <v>511892</v>
      </c>
      <c r="C10" s="86" t="s">
        <v>426</v>
      </c>
      <c r="D10" s="87" t="s">
        <v>279</v>
      </c>
      <c r="E10" s="88">
        <v>13</v>
      </c>
      <c r="F10" s="88"/>
      <c r="G10" s="169">
        <f>E10*F10</f>
        <v>0</v>
      </c>
      <c r="H10" s="160"/>
      <c r="I10" s="89"/>
      <c r="J10" s="82" t="s">
        <v>427</v>
      </c>
      <c r="K10" s="58" t="s">
        <v>423</v>
      </c>
      <c r="M10" s="83" t="s">
        <v>424</v>
      </c>
    </row>
    <row r="11" spans="1:13" s="98" customFormat="1" ht="14.25">
      <c r="A11" s="90"/>
      <c r="B11" s="91"/>
      <c r="C11" s="92" t="s">
        <v>428</v>
      </c>
      <c r="D11" s="93"/>
      <c r="E11" s="94"/>
      <c r="F11" s="94"/>
      <c r="G11" s="170">
        <f>SUM(G8:G10)</f>
        <v>0</v>
      </c>
      <c r="H11" s="95"/>
      <c r="I11" s="96"/>
      <c r="J11" s="97"/>
      <c r="M11" s="99" t="s">
        <v>424</v>
      </c>
    </row>
    <row r="12" spans="1:13" s="75" customFormat="1" ht="19.5" customHeight="1">
      <c r="A12" s="100" t="s">
        <v>429</v>
      </c>
      <c r="B12" s="101"/>
      <c r="C12" s="102"/>
      <c r="D12" s="103"/>
      <c r="E12" s="104"/>
      <c r="F12" s="104"/>
      <c r="G12" s="171"/>
      <c r="H12" s="105"/>
      <c r="I12" s="106"/>
      <c r="J12" s="107"/>
      <c r="M12" s="108"/>
    </row>
    <row r="13" spans="1:13" ht="15">
      <c r="A13" s="76">
        <v>4</v>
      </c>
      <c r="B13" s="77">
        <v>591121</v>
      </c>
      <c r="C13" s="79" t="s">
        <v>430</v>
      </c>
      <c r="D13" s="79" t="s">
        <v>279</v>
      </c>
      <c r="E13" s="80">
        <v>13</v>
      </c>
      <c r="F13" s="80"/>
      <c r="G13" s="168">
        <f>E13*F13</f>
        <v>0</v>
      </c>
      <c r="H13" s="159"/>
      <c r="I13" s="81"/>
      <c r="J13" s="82" t="s">
        <v>427</v>
      </c>
      <c r="M13" s="83" t="s">
        <v>431</v>
      </c>
    </row>
    <row r="14" spans="1:13" ht="15">
      <c r="A14" s="76">
        <v>5</v>
      </c>
      <c r="B14" s="77">
        <v>410371</v>
      </c>
      <c r="C14" s="79" t="s">
        <v>432</v>
      </c>
      <c r="D14" s="109" t="s">
        <v>391</v>
      </c>
      <c r="E14" s="80">
        <v>8</v>
      </c>
      <c r="F14" s="80"/>
      <c r="G14" s="168">
        <f aca="true" t="shared" si="0" ref="G14:G36">E14*F14</f>
        <v>0</v>
      </c>
      <c r="H14" s="159"/>
      <c r="I14" s="81"/>
      <c r="J14" s="110"/>
      <c r="K14" s="58" t="s">
        <v>423</v>
      </c>
      <c r="M14" s="83" t="s">
        <v>431</v>
      </c>
    </row>
    <row r="15" spans="1:13" ht="15">
      <c r="A15" s="76">
        <v>6</v>
      </c>
      <c r="B15" s="77">
        <v>409822</v>
      </c>
      <c r="C15" s="79" t="s">
        <v>433</v>
      </c>
      <c r="D15" s="79" t="s">
        <v>279</v>
      </c>
      <c r="E15" s="80">
        <v>8</v>
      </c>
      <c r="F15" s="80"/>
      <c r="G15" s="168">
        <f t="shared" si="0"/>
        <v>0</v>
      </c>
      <c r="H15" s="159"/>
      <c r="I15" s="81"/>
      <c r="J15" s="82" t="s">
        <v>162</v>
      </c>
      <c r="M15" s="83" t="s">
        <v>431</v>
      </c>
    </row>
    <row r="16" spans="1:13" ht="15">
      <c r="A16" s="76">
        <v>7</v>
      </c>
      <c r="B16" s="77">
        <v>410301</v>
      </c>
      <c r="C16" s="79" t="s">
        <v>434</v>
      </c>
      <c r="D16" s="79" t="s">
        <v>279</v>
      </c>
      <c r="E16" s="80">
        <v>8</v>
      </c>
      <c r="F16" s="80"/>
      <c r="G16" s="168">
        <f t="shared" si="0"/>
        <v>0</v>
      </c>
      <c r="H16" s="159"/>
      <c r="I16" s="81"/>
      <c r="J16" s="82" t="s">
        <v>162</v>
      </c>
      <c r="M16" s="83" t="s">
        <v>431</v>
      </c>
    </row>
    <row r="17" spans="1:13" ht="15">
      <c r="A17" s="76">
        <v>8</v>
      </c>
      <c r="B17" s="77">
        <v>420350</v>
      </c>
      <c r="C17" s="79" t="s">
        <v>435</v>
      </c>
      <c r="D17" s="109" t="s">
        <v>391</v>
      </c>
      <c r="E17" s="80">
        <v>10</v>
      </c>
      <c r="F17" s="80"/>
      <c r="G17" s="168">
        <f t="shared" si="0"/>
        <v>0</v>
      </c>
      <c r="H17" s="159"/>
      <c r="I17" s="81"/>
      <c r="J17" s="82" t="s">
        <v>162</v>
      </c>
      <c r="K17" s="58" t="s">
        <v>423</v>
      </c>
      <c r="M17" s="83" t="s">
        <v>431</v>
      </c>
    </row>
    <row r="18" spans="1:13" ht="15">
      <c r="A18" s="76">
        <v>9</v>
      </c>
      <c r="B18" s="77">
        <v>420280</v>
      </c>
      <c r="C18" s="79" t="s">
        <v>436</v>
      </c>
      <c r="D18" s="79" t="s">
        <v>279</v>
      </c>
      <c r="E18" s="80">
        <v>10</v>
      </c>
      <c r="F18" s="80"/>
      <c r="G18" s="168">
        <f t="shared" si="0"/>
        <v>0</v>
      </c>
      <c r="H18" s="159"/>
      <c r="I18" s="81"/>
      <c r="J18" s="82" t="s">
        <v>162</v>
      </c>
      <c r="M18" s="83" t="s">
        <v>431</v>
      </c>
    </row>
    <row r="19" spans="1:13" ht="15">
      <c r="A19" s="76">
        <v>10</v>
      </c>
      <c r="B19" s="77">
        <v>420391</v>
      </c>
      <c r="C19" s="79" t="s">
        <v>437</v>
      </c>
      <c r="D19" s="79" t="s">
        <v>279</v>
      </c>
      <c r="E19" s="80">
        <v>10</v>
      </c>
      <c r="F19" s="80"/>
      <c r="G19" s="168">
        <f t="shared" si="0"/>
        <v>0</v>
      </c>
      <c r="H19" s="159"/>
      <c r="I19" s="81"/>
      <c r="J19" s="82" t="s">
        <v>162</v>
      </c>
      <c r="K19" s="58" t="s">
        <v>423</v>
      </c>
      <c r="M19" s="83" t="s">
        <v>431</v>
      </c>
    </row>
    <row r="20" spans="1:13" ht="15">
      <c r="A20" s="76">
        <v>11</v>
      </c>
      <c r="B20" s="77">
        <v>420392</v>
      </c>
      <c r="C20" s="79" t="s">
        <v>438</v>
      </c>
      <c r="D20" s="79" t="s">
        <v>279</v>
      </c>
      <c r="E20" s="80">
        <v>1</v>
      </c>
      <c r="F20" s="80"/>
      <c r="G20" s="168">
        <f t="shared" si="0"/>
        <v>0</v>
      </c>
      <c r="H20" s="159"/>
      <c r="I20" s="81"/>
      <c r="J20" s="82" t="s">
        <v>162</v>
      </c>
      <c r="K20" s="58" t="s">
        <v>423</v>
      </c>
      <c r="M20" s="83" t="s">
        <v>431</v>
      </c>
    </row>
    <row r="21" spans="1:13" ht="15">
      <c r="A21" s="76">
        <v>12</v>
      </c>
      <c r="B21" s="77">
        <v>420393</v>
      </c>
      <c r="C21" s="79" t="s">
        <v>439</v>
      </c>
      <c r="D21" s="79" t="s">
        <v>279</v>
      </c>
      <c r="E21" s="80">
        <v>2</v>
      </c>
      <c r="F21" s="80"/>
      <c r="G21" s="168">
        <f t="shared" si="0"/>
        <v>0</v>
      </c>
      <c r="H21" s="159"/>
      <c r="I21" s="81"/>
      <c r="J21" s="82" t="s">
        <v>162</v>
      </c>
      <c r="K21" s="58" t="s">
        <v>423</v>
      </c>
      <c r="M21" s="83" t="s">
        <v>431</v>
      </c>
    </row>
    <row r="22" spans="1:13" ht="15">
      <c r="A22" s="76">
        <v>13</v>
      </c>
      <c r="B22" s="77">
        <v>81988</v>
      </c>
      <c r="C22" s="79" t="s">
        <v>440</v>
      </c>
      <c r="D22" s="79" t="s">
        <v>279</v>
      </c>
      <c r="E22" s="80">
        <v>1</v>
      </c>
      <c r="F22" s="80"/>
      <c r="G22" s="168">
        <f t="shared" si="0"/>
        <v>0</v>
      </c>
      <c r="H22" s="159"/>
      <c r="I22" s="81"/>
      <c r="J22" s="82" t="s">
        <v>162</v>
      </c>
      <c r="K22" s="58" t="s">
        <v>423</v>
      </c>
      <c r="M22" s="83" t="s">
        <v>431</v>
      </c>
    </row>
    <row r="23" spans="1:13" ht="15">
      <c r="A23" s="76">
        <v>14</v>
      </c>
      <c r="B23" s="77">
        <v>89701</v>
      </c>
      <c r="C23" s="79" t="s">
        <v>441</v>
      </c>
      <c r="D23" s="79" t="s">
        <v>279</v>
      </c>
      <c r="E23" s="80">
        <v>1</v>
      </c>
      <c r="F23" s="80"/>
      <c r="G23" s="168">
        <f t="shared" si="0"/>
        <v>0</v>
      </c>
      <c r="H23" s="159"/>
      <c r="I23" s="81"/>
      <c r="J23" s="82" t="s">
        <v>162</v>
      </c>
      <c r="M23" s="83" t="s">
        <v>431</v>
      </c>
    </row>
    <row r="24" spans="1:13" ht="15">
      <c r="A24" s="76">
        <v>15</v>
      </c>
      <c r="B24" s="77">
        <v>77140</v>
      </c>
      <c r="C24" s="79" t="s">
        <v>442</v>
      </c>
      <c r="D24" s="79" t="s">
        <v>279</v>
      </c>
      <c r="E24" s="80">
        <v>1</v>
      </c>
      <c r="F24" s="80"/>
      <c r="G24" s="168">
        <f t="shared" si="0"/>
        <v>0</v>
      </c>
      <c r="H24" s="159"/>
      <c r="I24" s="81"/>
      <c r="J24" s="82" t="s">
        <v>162</v>
      </c>
      <c r="K24" s="58" t="s">
        <v>423</v>
      </c>
      <c r="M24" s="83" t="s">
        <v>431</v>
      </c>
    </row>
    <row r="25" spans="1:13" ht="15">
      <c r="A25" s="76">
        <v>16</v>
      </c>
      <c r="B25" s="77">
        <v>438711</v>
      </c>
      <c r="C25" s="79" t="s">
        <v>443</v>
      </c>
      <c r="D25" s="79" t="s">
        <v>279</v>
      </c>
      <c r="E25" s="80">
        <v>1</v>
      </c>
      <c r="F25" s="80"/>
      <c r="G25" s="168">
        <f t="shared" si="0"/>
        <v>0</v>
      </c>
      <c r="H25" s="159"/>
      <c r="I25" s="81"/>
      <c r="J25" s="82" t="s">
        <v>162</v>
      </c>
      <c r="K25" s="58" t="s">
        <v>423</v>
      </c>
      <c r="M25" s="83" t="s">
        <v>431</v>
      </c>
    </row>
    <row r="26" spans="1:13" ht="15">
      <c r="A26" s="76">
        <v>17</v>
      </c>
      <c r="B26" s="77">
        <v>434081</v>
      </c>
      <c r="C26" s="79" t="s">
        <v>444</v>
      </c>
      <c r="D26" s="79" t="s">
        <v>279</v>
      </c>
      <c r="E26" s="80">
        <v>1</v>
      </c>
      <c r="F26" s="80"/>
      <c r="G26" s="168">
        <f t="shared" si="0"/>
        <v>0</v>
      </c>
      <c r="H26" s="159"/>
      <c r="I26" s="81"/>
      <c r="J26" s="82" t="s">
        <v>162</v>
      </c>
      <c r="K26" s="58" t="s">
        <v>423</v>
      </c>
      <c r="M26" s="83" t="s">
        <v>431</v>
      </c>
    </row>
    <row r="27" spans="1:13" ht="15">
      <c r="A27" s="76">
        <v>18</v>
      </c>
      <c r="B27" s="77">
        <v>434081</v>
      </c>
      <c r="C27" s="79" t="s">
        <v>445</v>
      </c>
      <c r="D27" s="79" t="s">
        <v>279</v>
      </c>
      <c r="E27" s="80">
        <v>4</v>
      </c>
      <c r="F27" s="80"/>
      <c r="G27" s="168">
        <f t="shared" si="0"/>
        <v>0</v>
      </c>
      <c r="H27" s="159"/>
      <c r="I27" s="81"/>
      <c r="J27" s="82" t="s">
        <v>162</v>
      </c>
      <c r="K27" s="58" t="s">
        <v>423</v>
      </c>
      <c r="M27" s="83" t="s">
        <v>431</v>
      </c>
    </row>
    <row r="28" spans="1:13" ht="15">
      <c r="A28" s="76">
        <v>19</v>
      </c>
      <c r="B28" s="77">
        <v>321122</v>
      </c>
      <c r="C28" s="79" t="s">
        <v>446</v>
      </c>
      <c r="D28" s="79" t="s">
        <v>273</v>
      </c>
      <c r="E28" s="80">
        <v>5</v>
      </c>
      <c r="F28" s="80"/>
      <c r="G28" s="168">
        <f t="shared" si="0"/>
        <v>0</v>
      </c>
      <c r="H28" s="159"/>
      <c r="I28" s="81"/>
      <c r="J28" s="82" t="s">
        <v>162</v>
      </c>
      <c r="K28" s="58" t="s">
        <v>423</v>
      </c>
      <c r="M28" s="83" t="s">
        <v>431</v>
      </c>
    </row>
    <row r="29" spans="1:13" ht="15">
      <c r="A29" s="76">
        <v>20</v>
      </c>
      <c r="B29" s="77">
        <v>311217</v>
      </c>
      <c r="C29" s="79" t="s">
        <v>447</v>
      </c>
      <c r="D29" s="79" t="s">
        <v>279</v>
      </c>
      <c r="E29" s="80">
        <v>12</v>
      </c>
      <c r="F29" s="80"/>
      <c r="G29" s="168">
        <f t="shared" si="0"/>
        <v>0</v>
      </c>
      <c r="H29" s="159"/>
      <c r="I29" s="81"/>
      <c r="J29" s="82" t="s">
        <v>162</v>
      </c>
      <c r="K29" s="58" t="s">
        <v>423</v>
      </c>
      <c r="M29" s="83" t="s">
        <v>431</v>
      </c>
    </row>
    <row r="30" spans="1:13" ht="15">
      <c r="A30" s="76">
        <v>21</v>
      </c>
      <c r="B30" s="77">
        <v>311213</v>
      </c>
      <c r="C30" s="79" t="s">
        <v>448</v>
      </c>
      <c r="D30" s="79" t="s">
        <v>279</v>
      </c>
      <c r="E30" s="80">
        <v>6</v>
      </c>
      <c r="F30" s="80"/>
      <c r="G30" s="168">
        <f t="shared" si="0"/>
        <v>0</v>
      </c>
      <c r="H30" s="159"/>
      <c r="I30" s="81"/>
      <c r="J30" s="82" t="s">
        <v>162</v>
      </c>
      <c r="K30" s="58" t="s">
        <v>423</v>
      </c>
      <c r="M30" s="83" t="s">
        <v>431</v>
      </c>
    </row>
    <row r="31" spans="1:13" ht="15">
      <c r="A31" s="76">
        <v>22</v>
      </c>
      <c r="B31" s="77">
        <v>199114</v>
      </c>
      <c r="C31" s="79" t="s">
        <v>449</v>
      </c>
      <c r="D31" s="79" t="s">
        <v>279</v>
      </c>
      <c r="E31" s="80">
        <v>30</v>
      </c>
      <c r="F31" s="80"/>
      <c r="G31" s="168">
        <f t="shared" si="0"/>
        <v>0</v>
      </c>
      <c r="H31" s="159"/>
      <c r="I31" s="81"/>
      <c r="J31" s="82" t="s">
        <v>162</v>
      </c>
      <c r="K31" s="58" t="s">
        <v>423</v>
      </c>
      <c r="M31" s="83" t="s">
        <v>431</v>
      </c>
    </row>
    <row r="32" spans="1:13" ht="15">
      <c r="A32" s="76">
        <v>23</v>
      </c>
      <c r="B32" s="111" t="s">
        <v>450</v>
      </c>
      <c r="C32" s="79" t="s">
        <v>451</v>
      </c>
      <c r="D32" s="79" t="s">
        <v>279</v>
      </c>
      <c r="E32" s="80">
        <v>50</v>
      </c>
      <c r="F32" s="80"/>
      <c r="G32" s="168">
        <f t="shared" si="0"/>
        <v>0</v>
      </c>
      <c r="H32" s="159"/>
      <c r="I32" s="81"/>
      <c r="J32" s="82" t="s">
        <v>162</v>
      </c>
      <c r="K32" s="58" t="s">
        <v>423</v>
      </c>
      <c r="M32" s="83" t="s">
        <v>431</v>
      </c>
    </row>
    <row r="33" spans="1:13" ht="15">
      <c r="A33" s="76">
        <v>24</v>
      </c>
      <c r="B33" s="77">
        <v>101106</v>
      </c>
      <c r="C33" s="79" t="s">
        <v>452</v>
      </c>
      <c r="D33" s="79" t="s">
        <v>273</v>
      </c>
      <c r="E33" s="80">
        <v>120</v>
      </c>
      <c r="F33" s="80"/>
      <c r="G33" s="168">
        <f t="shared" si="0"/>
        <v>0</v>
      </c>
      <c r="H33" s="159"/>
      <c r="I33" s="81"/>
      <c r="J33" s="82" t="s">
        <v>162</v>
      </c>
      <c r="K33" s="58" t="s">
        <v>423</v>
      </c>
      <c r="M33" s="83" t="s">
        <v>431</v>
      </c>
    </row>
    <row r="34" spans="1:13" ht="15">
      <c r="A34" s="76">
        <v>25</v>
      </c>
      <c r="B34" s="77">
        <v>101105</v>
      </c>
      <c r="C34" s="79" t="s">
        <v>453</v>
      </c>
      <c r="D34" s="79" t="s">
        <v>273</v>
      </c>
      <c r="E34" s="80">
        <v>120</v>
      </c>
      <c r="F34" s="80"/>
      <c r="G34" s="168">
        <f t="shared" si="0"/>
        <v>0</v>
      </c>
      <c r="H34" s="159"/>
      <c r="I34" s="81"/>
      <c r="J34" s="82" t="s">
        <v>162</v>
      </c>
      <c r="K34" s="58" t="s">
        <v>423</v>
      </c>
      <c r="M34" s="83" t="s">
        <v>431</v>
      </c>
    </row>
    <row r="35" spans="1:13" ht="15">
      <c r="A35" s="76">
        <v>26</v>
      </c>
      <c r="B35" s="77">
        <v>101105</v>
      </c>
      <c r="C35" s="79" t="s">
        <v>454</v>
      </c>
      <c r="D35" s="79" t="s">
        <v>273</v>
      </c>
      <c r="E35" s="80">
        <v>60</v>
      </c>
      <c r="F35" s="80"/>
      <c r="G35" s="168">
        <f t="shared" si="0"/>
        <v>0</v>
      </c>
      <c r="H35" s="159"/>
      <c r="I35" s="81"/>
      <c r="J35" s="82" t="s">
        <v>162</v>
      </c>
      <c r="K35" s="58" t="s">
        <v>423</v>
      </c>
      <c r="M35" s="83" t="s">
        <v>431</v>
      </c>
    </row>
    <row r="36" spans="1:13" ht="15.75" thickBot="1">
      <c r="A36" s="112">
        <v>27</v>
      </c>
      <c r="B36" s="113">
        <v>80088</v>
      </c>
      <c r="C36" s="114" t="s">
        <v>455</v>
      </c>
      <c r="D36" s="114" t="s">
        <v>279</v>
      </c>
      <c r="E36" s="115">
        <v>0</v>
      </c>
      <c r="F36" s="116"/>
      <c r="G36" s="172">
        <f t="shared" si="0"/>
        <v>0</v>
      </c>
      <c r="H36" s="161"/>
      <c r="I36" s="117"/>
      <c r="J36" s="118" t="s">
        <v>162</v>
      </c>
      <c r="K36" s="58" t="s">
        <v>423</v>
      </c>
      <c r="M36" s="83" t="s">
        <v>431</v>
      </c>
    </row>
    <row r="37" spans="1:13" s="98" customFormat="1" ht="14.25">
      <c r="A37" s="119"/>
      <c r="B37" s="120"/>
      <c r="C37" s="121" t="s">
        <v>428</v>
      </c>
      <c r="D37" s="121"/>
      <c r="E37" s="122"/>
      <c r="F37" s="122"/>
      <c r="G37" s="173">
        <f>SUM(G13:G36)</f>
        <v>0</v>
      </c>
      <c r="H37" s="123"/>
      <c r="I37" s="124"/>
      <c r="J37" s="125"/>
      <c r="M37" s="99" t="s">
        <v>431</v>
      </c>
    </row>
    <row r="38" spans="1:13" s="75" customFormat="1" ht="19.5" customHeight="1">
      <c r="A38" s="100" t="s">
        <v>262</v>
      </c>
      <c r="B38" s="101"/>
      <c r="C38" s="102"/>
      <c r="D38" s="102"/>
      <c r="E38" s="104"/>
      <c r="F38" s="104"/>
      <c r="G38" s="171"/>
      <c r="H38" s="105"/>
      <c r="I38" s="106"/>
      <c r="J38" s="126"/>
      <c r="M38" s="108"/>
    </row>
    <row r="39" spans="1:13" ht="15">
      <c r="A39" s="76">
        <v>28</v>
      </c>
      <c r="B39" s="77">
        <v>210200032</v>
      </c>
      <c r="C39" s="79" t="s">
        <v>456</v>
      </c>
      <c r="D39" s="79" t="s">
        <v>279</v>
      </c>
      <c r="E39" s="80">
        <v>15</v>
      </c>
      <c r="F39" s="80"/>
      <c r="G39" s="168">
        <f>E39*F39</f>
        <v>0</v>
      </c>
      <c r="H39" s="159"/>
      <c r="I39" s="81"/>
      <c r="J39" s="82" t="s">
        <v>162</v>
      </c>
      <c r="M39" s="83" t="s">
        <v>457</v>
      </c>
    </row>
    <row r="40" spans="1:13" ht="15">
      <c r="A40" s="76">
        <v>29</v>
      </c>
      <c r="B40" s="77">
        <v>210201002</v>
      </c>
      <c r="C40" s="79" t="s">
        <v>456</v>
      </c>
      <c r="D40" s="79" t="s">
        <v>279</v>
      </c>
      <c r="E40" s="80">
        <v>4</v>
      </c>
      <c r="F40" s="80"/>
      <c r="G40" s="168">
        <f aca="true" t="shared" si="1" ref="G40:G53">E40*F40</f>
        <v>0</v>
      </c>
      <c r="H40" s="159"/>
      <c r="I40" s="81"/>
      <c r="J40" s="82" t="s">
        <v>162</v>
      </c>
      <c r="M40" s="83" t="s">
        <v>457</v>
      </c>
    </row>
    <row r="41" spans="1:13" ht="15">
      <c r="A41" s="76">
        <v>30</v>
      </c>
      <c r="B41" s="77">
        <v>210200021</v>
      </c>
      <c r="C41" s="79" t="s">
        <v>458</v>
      </c>
      <c r="D41" s="79" t="s">
        <v>279</v>
      </c>
      <c r="E41" s="80">
        <v>13</v>
      </c>
      <c r="F41" s="80"/>
      <c r="G41" s="168">
        <f t="shared" si="1"/>
        <v>0</v>
      </c>
      <c r="H41" s="159"/>
      <c r="I41" s="81"/>
      <c r="J41" s="82" t="s">
        <v>162</v>
      </c>
      <c r="M41" s="83" t="s">
        <v>457</v>
      </c>
    </row>
    <row r="42" spans="1:13" ht="15">
      <c r="A42" s="76">
        <v>31</v>
      </c>
      <c r="B42" s="77">
        <v>210110045</v>
      </c>
      <c r="C42" s="79" t="s">
        <v>459</v>
      </c>
      <c r="D42" s="79" t="s">
        <v>279</v>
      </c>
      <c r="E42" s="80">
        <v>8</v>
      </c>
      <c r="F42" s="80"/>
      <c r="G42" s="168">
        <f t="shared" si="1"/>
        <v>0</v>
      </c>
      <c r="H42" s="159"/>
      <c r="I42" s="81"/>
      <c r="J42" s="82" t="s">
        <v>162</v>
      </c>
      <c r="M42" s="83" t="s">
        <v>457</v>
      </c>
    </row>
    <row r="43" spans="1:13" ht="15">
      <c r="A43" s="76">
        <v>32</v>
      </c>
      <c r="B43" s="77">
        <v>210111012</v>
      </c>
      <c r="C43" s="79" t="s">
        <v>460</v>
      </c>
      <c r="D43" s="79" t="s">
        <v>279</v>
      </c>
      <c r="E43" s="80">
        <v>10</v>
      </c>
      <c r="F43" s="80"/>
      <c r="G43" s="168">
        <f t="shared" si="1"/>
        <v>0</v>
      </c>
      <c r="H43" s="159"/>
      <c r="I43" s="81"/>
      <c r="J43" s="82" t="s">
        <v>162</v>
      </c>
      <c r="M43" s="83" t="s">
        <v>457</v>
      </c>
    </row>
    <row r="44" spans="1:13" ht="15">
      <c r="A44" s="76">
        <v>33</v>
      </c>
      <c r="B44" s="77">
        <v>210020521</v>
      </c>
      <c r="C44" s="79" t="s">
        <v>461</v>
      </c>
      <c r="D44" s="79" t="s">
        <v>279</v>
      </c>
      <c r="E44" s="80">
        <v>1</v>
      </c>
      <c r="F44" s="80"/>
      <c r="G44" s="168">
        <f t="shared" si="1"/>
        <v>0</v>
      </c>
      <c r="H44" s="159"/>
      <c r="I44" s="81"/>
      <c r="J44" s="82" t="s">
        <v>162</v>
      </c>
      <c r="M44" s="83" t="s">
        <v>457</v>
      </c>
    </row>
    <row r="45" spans="1:13" ht="15">
      <c r="A45" s="76">
        <v>34</v>
      </c>
      <c r="B45" s="77">
        <v>210111002</v>
      </c>
      <c r="C45" s="79" t="s">
        <v>462</v>
      </c>
      <c r="D45" s="79" t="s">
        <v>279</v>
      </c>
      <c r="E45" s="80">
        <v>1</v>
      </c>
      <c r="F45" s="80"/>
      <c r="G45" s="168">
        <f t="shared" si="1"/>
        <v>0</v>
      </c>
      <c r="H45" s="159"/>
      <c r="I45" s="81"/>
      <c r="J45" s="82" t="s">
        <v>162</v>
      </c>
      <c r="M45" s="83" t="s">
        <v>457</v>
      </c>
    </row>
    <row r="46" spans="1:13" ht="15">
      <c r="A46" s="76">
        <v>35</v>
      </c>
      <c r="B46" s="77">
        <v>210120491</v>
      </c>
      <c r="C46" s="79" t="s">
        <v>463</v>
      </c>
      <c r="D46" s="79" t="s">
        <v>279</v>
      </c>
      <c r="E46" s="80">
        <v>1</v>
      </c>
      <c r="F46" s="80"/>
      <c r="G46" s="168">
        <f t="shared" si="1"/>
        <v>0</v>
      </c>
      <c r="H46" s="159"/>
      <c r="I46" s="81"/>
      <c r="J46" s="82" t="s">
        <v>162</v>
      </c>
      <c r="M46" s="83" t="s">
        <v>457</v>
      </c>
    </row>
    <row r="47" spans="1:13" ht="15">
      <c r="A47" s="76">
        <v>36</v>
      </c>
      <c r="B47" s="77">
        <v>210120401</v>
      </c>
      <c r="C47" s="79" t="s">
        <v>464</v>
      </c>
      <c r="D47" s="79" t="s">
        <v>279</v>
      </c>
      <c r="E47" s="80">
        <v>1</v>
      </c>
      <c r="F47" s="80"/>
      <c r="G47" s="168">
        <f t="shared" si="1"/>
        <v>0</v>
      </c>
      <c r="H47" s="159"/>
      <c r="I47" s="81"/>
      <c r="J47" s="82" t="s">
        <v>162</v>
      </c>
      <c r="M47" s="83" t="s">
        <v>457</v>
      </c>
    </row>
    <row r="48" spans="1:13" ht="15">
      <c r="A48" s="76">
        <v>37</v>
      </c>
      <c r="B48" s="77">
        <v>210120401</v>
      </c>
      <c r="C48" s="79" t="s">
        <v>464</v>
      </c>
      <c r="D48" s="79" t="s">
        <v>279</v>
      </c>
      <c r="E48" s="80">
        <v>4</v>
      </c>
      <c r="F48" s="80"/>
      <c r="G48" s="168">
        <f t="shared" si="1"/>
        <v>0</v>
      </c>
      <c r="H48" s="159"/>
      <c r="I48" s="81"/>
      <c r="J48" s="82" t="s">
        <v>162</v>
      </c>
      <c r="M48" s="83" t="s">
        <v>457</v>
      </c>
    </row>
    <row r="49" spans="1:13" ht="15">
      <c r="A49" s="76">
        <v>38</v>
      </c>
      <c r="B49" s="77">
        <v>210010002</v>
      </c>
      <c r="C49" s="79" t="s">
        <v>465</v>
      </c>
      <c r="D49" s="79" t="s">
        <v>273</v>
      </c>
      <c r="E49" s="80">
        <v>5</v>
      </c>
      <c r="F49" s="80"/>
      <c r="G49" s="168">
        <f t="shared" si="1"/>
        <v>0</v>
      </c>
      <c r="H49" s="159"/>
      <c r="I49" s="81"/>
      <c r="J49" s="82" t="s">
        <v>162</v>
      </c>
      <c r="M49" s="83" t="s">
        <v>457</v>
      </c>
    </row>
    <row r="50" spans="1:13" ht="15">
      <c r="A50" s="76">
        <v>39</v>
      </c>
      <c r="B50" s="77">
        <v>210010301</v>
      </c>
      <c r="C50" s="79" t="s">
        <v>466</v>
      </c>
      <c r="D50" s="79" t="s">
        <v>279</v>
      </c>
      <c r="E50" s="80">
        <v>12</v>
      </c>
      <c r="F50" s="80"/>
      <c r="G50" s="168">
        <f t="shared" si="1"/>
        <v>0</v>
      </c>
      <c r="H50" s="159"/>
      <c r="I50" s="81"/>
      <c r="J50" s="82" t="s">
        <v>162</v>
      </c>
      <c r="M50" s="83" t="s">
        <v>457</v>
      </c>
    </row>
    <row r="51" spans="1:13" ht="15">
      <c r="A51" s="76">
        <v>40</v>
      </c>
      <c r="B51" s="77">
        <v>210010301</v>
      </c>
      <c r="C51" s="79" t="s">
        <v>466</v>
      </c>
      <c r="D51" s="79" t="s">
        <v>279</v>
      </c>
      <c r="E51" s="80">
        <v>6</v>
      </c>
      <c r="F51" s="80"/>
      <c r="G51" s="168">
        <f t="shared" si="1"/>
        <v>0</v>
      </c>
      <c r="H51" s="159"/>
      <c r="I51" s="81"/>
      <c r="J51" s="82" t="s">
        <v>162</v>
      </c>
      <c r="M51" s="83" t="s">
        <v>457</v>
      </c>
    </row>
    <row r="52" spans="1:13" ht="15">
      <c r="A52" s="76">
        <v>41</v>
      </c>
      <c r="B52" s="77">
        <v>210800103</v>
      </c>
      <c r="C52" s="79" t="s">
        <v>467</v>
      </c>
      <c r="D52" s="79" t="s">
        <v>273</v>
      </c>
      <c r="E52" s="80">
        <v>120</v>
      </c>
      <c r="F52" s="80"/>
      <c r="G52" s="168">
        <f t="shared" si="1"/>
        <v>0</v>
      </c>
      <c r="H52" s="159"/>
      <c r="I52" s="81"/>
      <c r="J52" s="82" t="s">
        <v>162</v>
      </c>
      <c r="M52" s="83" t="s">
        <v>457</v>
      </c>
    </row>
    <row r="53" spans="1:13" ht="15">
      <c r="A53" s="76">
        <v>42</v>
      </c>
      <c r="B53" s="77">
        <v>210810048</v>
      </c>
      <c r="C53" s="79" t="s">
        <v>468</v>
      </c>
      <c r="D53" s="79" t="s">
        <v>273</v>
      </c>
      <c r="E53" s="80">
        <v>120</v>
      </c>
      <c r="F53" s="80"/>
      <c r="G53" s="168">
        <f t="shared" si="1"/>
        <v>0</v>
      </c>
      <c r="H53" s="159"/>
      <c r="I53" s="81"/>
      <c r="J53" s="82" t="s">
        <v>162</v>
      </c>
      <c r="M53" s="83" t="s">
        <v>457</v>
      </c>
    </row>
    <row r="54" spans="1:13" ht="15.75" thickBot="1">
      <c r="A54" s="127">
        <v>43</v>
      </c>
      <c r="B54" s="128">
        <v>210810048</v>
      </c>
      <c r="C54" s="129" t="s">
        <v>468</v>
      </c>
      <c r="D54" s="129" t="s">
        <v>273</v>
      </c>
      <c r="E54" s="116">
        <v>60</v>
      </c>
      <c r="F54" s="116"/>
      <c r="G54" s="172">
        <f>E54*F54</f>
        <v>0</v>
      </c>
      <c r="H54" s="161"/>
      <c r="I54" s="117"/>
      <c r="J54" s="118" t="s">
        <v>162</v>
      </c>
      <c r="M54" s="83" t="s">
        <v>457</v>
      </c>
    </row>
    <row r="55" spans="1:13" s="98" customFormat="1" ht="14.25">
      <c r="A55" s="119"/>
      <c r="B55" s="120"/>
      <c r="C55" s="121" t="s">
        <v>428</v>
      </c>
      <c r="D55" s="121"/>
      <c r="E55" s="122"/>
      <c r="F55" s="122"/>
      <c r="G55" s="173">
        <f>SUM(G39:G54)</f>
        <v>0</v>
      </c>
      <c r="H55" s="123"/>
      <c r="I55" s="124"/>
      <c r="J55" s="125"/>
      <c r="M55" s="99" t="s">
        <v>457</v>
      </c>
    </row>
    <row r="56" spans="1:13" s="75" customFormat="1" ht="19.5" customHeight="1">
      <c r="A56" s="100" t="s">
        <v>469</v>
      </c>
      <c r="B56" s="101"/>
      <c r="C56" s="102"/>
      <c r="D56" s="102"/>
      <c r="E56" s="104"/>
      <c r="F56" s="104"/>
      <c r="G56" s="171"/>
      <c r="H56" s="105"/>
      <c r="I56" s="106"/>
      <c r="J56" s="126"/>
      <c r="M56" s="108"/>
    </row>
    <row r="57" spans="1:13" ht="15">
      <c r="A57" s="76">
        <v>44</v>
      </c>
      <c r="B57" s="77">
        <v>218009001</v>
      </c>
      <c r="C57" s="79" t="s">
        <v>470</v>
      </c>
      <c r="D57" s="79" t="s">
        <v>279</v>
      </c>
      <c r="E57" s="80">
        <v>15</v>
      </c>
      <c r="F57" s="80"/>
      <c r="G57" s="168">
        <f>E57*F57</f>
        <v>0</v>
      </c>
      <c r="H57" s="159"/>
      <c r="I57" s="81"/>
      <c r="J57" s="82" t="s">
        <v>427</v>
      </c>
      <c r="M57" s="83" t="s">
        <v>471</v>
      </c>
    </row>
    <row r="58" spans="1:13" ht="15">
      <c r="A58" s="76">
        <v>45</v>
      </c>
      <c r="B58" s="77">
        <v>218009001</v>
      </c>
      <c r="C58" s="79" t="s">
        <v>470</v>
      </c>
      <c r="D58" s="79" t="s">
        <v>279</v>
      </c>
      <c r="E58" s="80">
        <v>4</v>
      </c>
      <c r="F58" s="80"/>
      <c r="G58" s="168">
        <f aca="true" t="shared" si="2" ref="G58:G63">E58*F58</f>
        <v>0</v>
      </c>
      <c r="H58" s="159"/>
      <c r="I58" s="81"/>
      <c r="J58" s="82" t="s">
        <v>427</v>
      </c>
      <c r="M58" s="83" t="s">
        <v>471</v>
      </c>
    </row>
    <row r="59" spans="1:13" ht="15">
      <c r="A59" s="76">
        <v>46</v>
      </c>
      <c r="B59" s="77">
        <v>218009001</v>
      </c>
      <c r="C59" s="79" t="s">
        <v>470</v>
      </c>
      <c r="D59" s="79" t="s">
        <v>279</v>
      </c>
      <c r="E59" s="80">
        <v>13</v>
      </c>
      <c r="F59" s="80"/>
      <c r="G59" s="168">
        <f t="shared" si="2"/>
        <v>0</v>
      </c>
      <c r="H59" s="159"/>
      <c r="I59" s="81"/>
      <c r="J59" s="82" t="s">
        <v>427</v>
      </c>
      <c r="M59" s="83" t="s">
        <v>471</v>
      </c>
    </row>
    <row r="60" spans="1:13" ht="15">
      <c r="A60" s="76">
        <v>47</v>
      </c>
      <c r="B60" s="77">
        <v>219002811</v>
      </c>
      <c r="C60" s="79" t="s">
        <v>472</v>
      </c>
      <c r="D60" s="79" t="s">
        <v>273</v>
      </c>
      <c r="E60" s="80">
        <v>4</v>
      </c>
      <c r="F60" s="80"/>
      <c r="G60" s="168">
        <f t="shared" si="2"/>
        <v>0</v>
      </c>
      <c r="H60" s="159"/>
      <c r="I60" s="81"/>
      <c r="J60" s="82" t="s">
        <v>162</v>
      </c>
      <c r="K60" s="58" t="s">
        <v>423</v>
      </c>
      <c r="M60" s="83" t="s">
        <v>471</v>
      </c>
    </row>
    <row r="61" spans="1:13" ht="15">
      <c r="A61" s="76">
        <v>48</v>
      </c>
      <c r="B61" s="77">
        <v>219002612</v>
      </c>
      <c r="C61" s="79" t="s">
        <v>473</v>
      </c>
      <c r="D61" s="79" t="s">
        <v>273</v>
      </c>
      <c r="E61" s="80">
        <v>30</v>
      </c>
      <c r="F61" s="80"/>
      <c r="G61" s="168">
        <f t="shared" si="2"/>
        <v>0</v>
      </c>
      <c r="H61" s="159"/>
      <c r="I61" s="81"/>
      <c r="J61" s="82" t="s">
        <v>162</v>
      </c>
      <c r="K61" s="58" t="s">
        <v>423</v>
      </c>
      <c r="M61" s="83" t="s">
        <v>471</v>
      </c>
    </row>
    <row r="62" spans="1:13" ht="15">
      <c r="A62" s="76">
        <v>49</v>
      </c>
      <c r="B62" s="77">
        <v>219001211</v>
      </c>
      <c r="C62" s="79" t="s">
        <v>474</v>
      </c>
      <c r="D62" s="79" t="s">
        <v>279</v>
      </c>
      <c r="E62" s="80">
        <v>1</v>
      </c>
      <c r="F62" s="80"/>
      <c r="G62" s="168">
        <f t="shared" si="2"/>
        <v>0</v>
      </c>
      <c r="H62" s="159"/>
      <c r="I62" s="81"/>
      <c r="J62" s="82"/>
      <c r="M62" s="83"/>
    </row>
    <row r="63" spans="1:13" ht="15.75" thickBot="1">
      <c r="A63" s="84">
        <v>50</v>
      </c>
      <c r="B63" s="85">
        <v>219001421</v>
      </c>
      <c r="C63" s="87" t="s">
        <v>475</v>
      </c>
      <c r="D63" s="87" t="s">
        <v>279</v>
      </c>
      <c r="E63" s="88">
        <v>1</v>
      </c>
      <c r="F63" s="80"/>
      <c r="G63" s="168">
        <f t="shared" si="2"/>
        <v>0</v>
      </c>
      <c r="H63" s="159"/>
      <c r="I63" s="81"/>
      <c r="J63" s="82"/>
      <c r="M63" s="83"/>
    </row>
    <row r="64" spans="1:13" s="98" customFormat="1" ht="14.25">
      <c r="A64" s="90"/>
      <c r="B64" s="91"/>
      <c r="C64" s="93" t="s">
        <v>428</v>
      </c>
      <c r="D64" s="93"/>
      <c r="E64" s="94"/>
      <c r="F64" s="94"/>
      <c r="G64" s="170">
        <f>SUM(G57:G63)</f>
        <v>0</v>
      </c>
      <c r="H64" s="95"/>
      <c r="I64" s="96"/>
      <c r="J64" s="130"/>
      <c r="M64" s="98" t="s">
        <v>471</v>
      </c>
    </row>
    <row r="65" spans="1:9" ht="20.25">
      <c r="A65" s="100" t="s">
        <v>476</v>
      </c>
      <c r="B65" s="131"/>
      <c r="C65" s="132"/>
      <c r="D65" s="132"/>
      <c r="E65" s="132"/>
      <c r="F65" s="132"/>
      <c r="G65" s="133"/>
      <c r="H65" s="132"/>
      <c r="I65" s="133"/>
    </row>
    <row r="66" spans="1:9" ht="15">
      <c r="A66" s="135">
        <v>51</v>
      </c>
      <c r="B66" s="136" t="s">
        <v>477</v>
      </c>
      <c r="C66" s="136"/>
      <c r="D66" s="137" t="s">
        <v>391</v>
      </c>
      <c r="E66" s="138">
        <v>1</v>
      </c>
      <c r="F66" s="138"/>
      <c r="G66" s="174">
        <f>E66*F66</f>
        <v>0</v>
      </c>
      <c r="H66" s="162"/>
      <c r="I66" s="139"/>
    </row>
    <row r="67" spans="1:9" ht="15">
      <c r="A67" s="76">
        <v>52</v>
      </c>
      <c r="B67" s="140" t="s">
        <v>478</v>
      </c>
      <c r="C67" s="140"/>
      <c r="D67" s="141" t="s">
        <v>391</v>
      </c>
      <c r="E67" s="80">
        <v>1</v>
      </c>
      <c r="F67" s="80"/>
      <c r="G67" s="168">
        <f aca="true" t="shared" si="3" ref="G67:G72">E67*F67</f>
        <v>0</v>
      </c>
      <c r="H67" s="159"/>
      <c r="I67" s="81"/>
    </row>
    <row r="68" spans="1:9" ht="15">
      <c r="A68" s="76">
        <v>53</v>
      </c>
      <c r="B68" s="140" t="s">
        <v>479</v>
      </c>
      <c r="C68" s="140"/>
      <c r="D68" s="141" t="s">
        <v>391</v>
      </c>
      <c r="E68" s="80">
        <v>1</v>
      </c>
      <c r="F68" s="80"/>
      <c r="G68" s="168">
        <f t="shared" si="3"/>
        <v>0</v>
      </c>
      <c r="H68" s="159"/>
      <c r="I68" s="81"/>
    </row>
    <row r="69" spans="1:9" ht="15">
      <c r="A69" s="76">
        <v>54</v>
      </c>
      <c r="B69" s="140" t="s">
        <v>480</v>
      </c>
      <c r="C69" s="140"/>
      <c r="D69" s="141" t="s">
        <v>391</v>
      </c>
      <c r="E69" s="80">
        <v>1</v>
      </c>
      <c r="F69" s="80"/>
      <c r="G69" s="168">
        <f t="shared" si="3"/>
        <v>0</v>
      </c>
      <c r="H69" s="159"/>
      <c r="I69" s="81"/>
    </row>
    <row r="70" spans="1:9" ht="15">
      <c r="A70" s="76">
        <v>55</v>
      </c>
      <c r="B70" s="140" t="s">
        <v>481</v>
      </c>
      <c r="C70" s="140"/>
      <c r="D70" s="141" t="s">
        <v>391</v>
      </c>
      <c r="E70" s="80">
        <v>1</v>
      </c>
      <c r="F70" s="80"/>
      <c r="G70" s="168">
        <f t="shared" si="3"/>
        <v>0</v>
      </c>
      <c r="H70" s="159"/>
      <c r="I70" s="81"/>
    </row>
    <row r="71" spans="1:9" ht="15">
      <c r="A71" s="76">
        <v>56</v>
      </c>
      <c r="B71" s="140" t="s">
        <v>484</v>
      </c>
      <c r="C71" s="140"/>
      <c r="D71" s="141" t="s">
        <v>391</v>
      </c>
      <c r="E71" s="80">
        <v>1</v>
      </c>
      <c r="F71" s="80"/>
      <c r="G71" s="168">
        <f t="shared" si="3"/>
        <v>0</v>
      </c>
      <c r="H71" s="141"/>
      <c r="I71" s="142"/>
    </row>
    <row r="72" spans="1:9" ht="15.75" thickBot="1">
      <c r="A72" s="76">
        <v>57</v>
      </c>
      <c r="B72" s="140" t="s">
        <v>482</v>
      </c>
      <c r="C72" s="140"/>
      <c r="D72" s="143" t="s">
        <v>391</v>
      </c>
      <c r="E72" s="80">
        <v>1</v>
      </c>
      <c r="F72" s="80"/>
      <c r="G72" s="168">
        <f t="shared" si="3"/>
        <v>0</v>
      </c>
      <c r="H72" s="143"/>
      <c r="I72" s="144"/>
    </row>
    <row r="73" spans="1:9" ht="15">
      <c r="A73" s="145"/>
      <c r="B73" s="146"/>
      <c r="C73" s="146" t="s">
        <v>428</v>
      </c>
      <c r="D73" s="147"/>
      <c r="E73" s="148"/>
      <c r="F73" s="148"/>
      <c r="G73" s="175">
        <f>SUM(G66:G72)</f>
        <v>0</v>
      </c>
      <c r="H73" s="147"/>
      <c r="I73" s="149"/>
    </row>
    <row r="74" spans="1:9" ht="15.75" thickBot="1">
      <c r="A74" s="150"/>
      <c r="B74" s="151" t="s">
        <v>483</v>
      </c>
      <c r="C74" s="151"/>
      <c r="D74" s="152"/>
      <c r="E74" s="152"/>
      <c r="F74" s="152"/>
      <c r="G74" s="176">
        <f>G73+G64+G55+G37+G11</f>
        <v>0</v>
      </c>
      <c r="H74" s="152"/>
      <c r="I74" s="153"/>
    </row>
    <row r="76" ht="15">
      <c r="A76" s="58" t="s">
        <v>82</v>
      </c>
    </row>
    <row r="77" spans="1:9" ht="37.5" customHeight="1">
      <c r="A77" s="206" t="s">
        <v>488</v>
      </c>
      <c r="B77" s="206"/>
      <c r="C77" s="206"/>
      <c r="D77" s="206"/>
      <c r="E77" s="206"/>
      <c r="F77" s="206"/>
      <c r="G77" s="206"/>
      <c r="H77" s="206"/>
      <c r="I77" s="206"/>
    </row>
  </sheetData>
  <sheetProtection/>
  <mergeCells count="1">
    <mergeCell ref="A77:I77"/>
  </mergeCells>
  <printOptions horizontalCentered="1"/>
  <pageMargins left="0.7086614173228347" right="0.7086614173228347" top="0.52" bottom="0.48" header="0.31496062992125984" footer="0.31496062992125984"/>
  <pageSetup fitToHeight="0" fitToWidth="1" horizontalDpi="600" verticalDpi="600" orientation="portrait" paperSize="9" scale="75" r:id="rId1"/>
  <headerFooter>
    <oddFooter>&amp;CStrana &amp;P z &amp;N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zoomScalePageLayoutView="0" workbookViewId="0" topLeftCell="A1">
      <selection activeCell="J26" sqref="J26"/>
    </sheetView>
  </sheetViews>
  <sheetFormatPr defaultColWidth="11.57421875" defaultRowHeight="12.75"/>
  <cols>
    <col min="1" max="2" width="9.140625" style="1" customWidth="1"/>
    <col min="3" max="3" width="13.28125" style="1" customWidth="1"/>
    <col min="4" max="4" width="54.28125" style="1" customWidth="1"/>
    <col min="5" max="5" width="14.57421875" style="1" customWidth="1"/>
    <col min="6" max="6" width="24.140625" style="1" customWidth="1"/>
    <col min="7" max="7" width="20.421875" style="1" customWidth="1"/>
    <col min="8" max="8" width="16.421875" style="1" customWidth="1"/>
    <col min="9" max="16384" width="11.57421875" style="1" customWidth="1"/>
  </cols>
  <sheetData>
    <row r="1" spans="1:8" ht="72.75" customHeight="1">
      <c r="A1" s="179" t="s">
        <v>339</v>
      </c>
      <c r="B1" s="180"/>
      <c r="C1" s="180"/>
      <c r="D1" s="180"/>
      <c r="E1" s="180"/>
      <c r="F1" s="180"/>
      <c r="G1" s="180"/>
      <c r="H1" s="180"/>
    </row>
    <row r="2" spans="1:9" ht="18" customHeight="1">
      <c r="A2" s="181" t="s">
        <v>1</v>
      </c>
      <c r="B2" s="182"/>
      <c r="C2" s="184" t="s">
        <v>171</v>
      </c>
      <c r="D2" s="205"/>
      <c r="E2" s="187" t="s">
        <v>287</v>
      </c>
      <c r="F2" s="187" t="s">
        <v>386</v>
      </c>
      <c r="G2" s="187"/>
      <c r="H2" s="207"/>
      <c r="I2" s="47"/>
    </row>
    <row r="3" spans="1:9" ht="12">
      <c r="A3" s="183"/>
      <c r="B3" s="178"/>
      <c r="C3" s="185"/>
      <c r="D3" s="185"/>
      <c r="E3" s="178"/>
      <c r="F3" s="190"/>
      <c r="G3" s="190"/>
      <c r="H3" s="208"/>
      <c r="I3" s="47"/>
    </row>
    <row r="4" spans="1:9" ht="12" customHeight="1">
      <c r="A4" s="191" t="s">
        <v>2</v>
      </c>
      <c r="B4" s="178"/>
      <c r="C4" s="190" t="s">
        <v>172</v>
      </c>
      <c r="D4" s="178"/>
      <c r="E4" s="190" t="s">
        <v>288</v>
      </c>
      <c r="F4" s="190" t="s">
        <v>387</v>
      </c>
      <c r="G4" s="190"/>
      <c r="H4" s="208"/>
      <c r="I4" s="47"/>
    </row>
    <row r="5" spans="1:9" ht="12">
      <c r="A5" s="183"/>
      <c r="B5" s="178"/>
      <c r="C5" s="178"/>
      <c r="D5" s="178"/>
      <c r="E5" s="178"/>
      <c r="F5" s="190"/>
      <c r="G5" s="190"/>
      <c r="H5" s="208"/>
      <c r="I5" s="47"/>
    </row>
    <row r="6" spans="1:9" ht="12">
      <c r="A6" s="191" t="s">
        <v>3</v>
      </c>
      <c r="B6" s="178"/>
      <c r="C6" s="190" t="s">
        <v>173</v>
      </c>
      <c r="D6" s="178"/>
      <c r="E6" s="190" t="s">
        <v>289</v>
      </c>
      <c r="F6" s="190"/>
      <c r="G6" s="178"/>
      <c r="H6" s="189"/>
      <c r="I6" s="48"/>
    </row>
    <row r="7" spans="1:9" ht="12">
      <c r="A7" s="183"/>
      <c r="B7" s="178"/>
      <c r="C7" s="178"/>
      <c r="D7" s="178"/>
      <c r="E7" s="178"/>
      <c r="F7" s="178"/>
      <c r="G7" s="178"/>
      <c r="H7" s="189"/>
      <c r="I7" s="48"/>
    </row>
    <row r="8" spans="1:9" ht="12">
      <c r="A8" s="191" t="s">
        <v>290</v>
      </c>
      <c r="B8" s="178"/>
      <c r="C8" s="190" t="s">
        <v>388</v>
      </c>
      <c r="D8" s="178"/>
      <c r="E8" s="192" t="s">
        <v>269</v>
      </c>
      <c r="F8" s="177">
        <v>43066</v>
      </c>
      <c r="G8" s="178"/>
      <c r="H8" s="189"/>
      <c r="I8" s="48"/>
    </row>
    <row r="9" spans="1:9" ht="12.75" thickBot="1">
      <c r="A9" s="183"/>
      <c r="B9" s="178"/>
      <c r="C9" s="178"/>
      <c r="D9" s="178"/>
      <c r="E9" s="178"/>
      <c r="F9" s="178"/>
      <c r="G9" s="178"/>
      <c r="H9" s="189"/>
      <c r="I9" s="48"/>
    </row>
    <row r="10" spans="1:9" ht="12.75" thickBot="1">
      <c r="A10" s="41" t="s">
        <v>5</v>
      </c>
      <c r="B10" s="42" t="s">
        <v>83</v>
      </c>
      <c r="C10" s="42" t="s">
        <v>87</v>
      </c>
      <c r="D10" s="209" t="s">
        <v>174</v>
      </c>
      <c r="E10" s="210"/>
      <c r="F10" s="42" t="s">
        <v>270</v>
      </c>
      <c r="G10" s="43" t="s">
        <v>281</v>
      </c>
      <c r="H10" s="40" t="s">
        <v>384</v>
      </c>
      <c r="I10" s="8"/>
    </row>
    <row r="11" spans="1:8" ht="12">
      <c r="A11" s="44" t="s">
        <v>7</v>
      </c>
      <c r="B11" s="44" t="s">
        <v>84</v>
      </c>
      <c r="C11" s="44" t="s">
        <v>89</v>
      </c>
      <c r="D11" s="211" t="s">
        <v>178</v>
      </c>
      <c r="E11" s="212"/>
      <c r="F11" s="44" t="s">
        <v>271</v>
      </c>
      <c r="G11" s="45">
        <v>5</v>
      </c>
      <c r="H11" s="46"/>
    </row>
    <row r="12" spans="1:7" ht="12">
      <c r="A12" s="25"/>
      <c r="B12" s="25"/>
      <c r="C12" s="25"/>
      <c r="D12" s="213" t="s">
        <v>11</v>
      </c>
      <c r="E12" s="214"/>
      <c r="F12" s="25"/>
      <c r="G12" s="26">
        <v>5</v>
      </c>
    </row>
    <row r="13" spans="1:8" ht="12">
      <c r="A13" s="25" t="s">
        <v>8</v>
      </c>
      <c r="B13" s="25" t="s">
        <v>84</v>
      </c>
      <c r="C13" s="25" t="s">
        <v>90</v>
      </c>
      <c r="D13" s="213" t="s">
        <v>179</v>
      </c>
      <c r="E13" s="214"/>
      <c r="F13" s="25" t="s">
        <v>271</v>
      </c>
      <c r="G13" s="26">
        <v>6</v>
      </c>
      <c r="H13" s="27"/>
    </row>
    <row r="14" spans="1:7" ht="12">
      <c r="A14" s="25"/>
      <c r="B14" s="25"/>
      <c r="C14" s="25"/>
      <c r="D14" s="213" t="s">
        <v>12</v>
      </c>
      <c r="E14" s="214"/>
      <c r="F14" s="25"/>
      <c r="G14" s="26">
        <v>6</v>
      </c>
    </row>
    <row r="15" spans="1:8" ht="12">
      <c r="A15" s="25" t="s">
        <v>9</v>
      </c>
      <c r="B15" s="25" t="s">
        <v>84</v>
      </c>
      <c r="C15" s="25" t="s">
        <v>89</v>
      </c>
      <c r="D15" s="213" t="s">
        <v>180</v>
      </c>
      <c r="E15" s="214"/>
      <c r="F15" s="25" t="s">
        <v>271</v>
      </c>
      <c r="G15" s="26">
        <v>5</v>
      </c>
      <c r="H15" s="27"/>
    </row>
    <row r="16" spans="1:7" ht="12">
      <c r="A16" s="25"/>
      <c r="B16" s="25"/>
      <c r="C16" s="25"/>
      <c r="D16" s="213" t="s">
        <v>11</v>
      </c>
      <c r="E16" s="214"/>
      <c r="F16" s="25"/>
      <c r="G16" s="26">
        <v>5</v>
      </c>
    </row>
    <row r="17" spans="1:8" ht="12">
      <c r="A17" s="25" t="s">
        <v>10</v>
      </c>
      <c r="B17" s="25" t="s">
        <v>85</v>
      </c>
      <c r="C17" s="25" t="s">
        <v>91</v>
      </c>
      <c r="D17" s="213" t="s">
        <v>183</v>
      </c>
      <c r="E17" s="214"/>
      <c r="F17" s="25" t="s">
        <v>272</v>
      </c>
      <c r="G17" s="26">
        <v>117.7</v>
      </c>
      <c r="H17" s="27" t="s">
        <v>385</v>
      </c>
    </row>
    <row r="18" spans="1:7" ht="12">
      <c r="A18" s="25"/>
      <c r="B18" s="25"/>
      <c r="C18" s="25"/>
      <c r="D18" s="213" t="s">
        <v>340</v>
      </c>
      <c r="E18" s="214"/>
      <c r="F18" s="25"/>
      <c r="G18" s="26">
        <v>117.7</v>
      </c>
    </row>
    <row r="19" spans="1:8" ht="12">
      <c r="A19" s="25" t="s">
        <v>11</v>
      </c>
      <c r="B19" s="25" t="s">
        <v>85</v>
      </c>
      <c r="C19" s="25" t="s">
        <v>92</v>
      </c>
      <c r="D19" s="213" t="s">
        <v>185</v>
      </c>
      <c r="E19" s="214"/>
      <c r="F19" s="25" t="s">
        <v>272</v>
      </c>
      <c r="G19" s="26">
        <v>58.78</v>
      </c>
      <c r="H19" s="27" t="s">
        <v>385</v>
      </c>
    </row>
    <row r="20" spans="1:7" ht="12">
      <c r="A20" s="25"/>
      <c r="B20" s="25"/>
      <c r="C20" s="25"/>
      <c r="D20" s="213" t="s">
        <v>341</v>
      </c>
      <c r="E20" s="214"/>
      <c r="F20" s="25"/>
      <c r="G20" s="26">
        <v>44.99</v>
      </c>
    </row>
    <row r="21" spans="1:7" ht="12">
      <c r="A21" s="25"/>
      <c r="B21" s="25"/>
      <c r="C21" s="25"/>
      <c r="D21" s="213" t="s">
        <v>342</v>
      </c>
      <c r="E21" s="214"/>
      <c r="F21" s="25"/>
      <c r="G21" s="26">
        <v>13.79</v>
      </c>
    </row>
    <row r="22" spans="1:8" ht="12">
      <c r="A22" s="25" t="s">
        <v>12</v>
      </c>
      <c r="B22" s="25" t="s">
        <v>85</v>
      </c>
      <c r="C22" s="25" t="s">
        <v>93</v>
      </c>
      <c r="D22" s="213" t="s">
        <v>186</v>
      </c>
      <c r="E22" s="214"/>
      <c r="F22" s="25" t="s">
        <v>272</v>
      </c>
      <c r="G22" s="26">
        <v>93.96</v>
      </c>
      <c r="H22" s="27" t="s">
        <v>385</v>
      </c>
    </row>
    <row r="23" spans="1:7" ht="12">
      <c r="A23" s="25"/>
      <c r="B23" s="25"/>
      <c r="C23" s="25"/>
      <c r="D23" s="213" t="s">
        <v>343</v>
      </c>
      <c r="E23" s="214"/>
      <c r="F23" s="25"/>
      <c r="G23" s="26">
        <v>75.63</v>
      </c>
    </row>
    <row r="24" spans="1:7" ht="12">
      <c r="A24" s="25"/>
      <c r="B24" s="25"/>
      <c r="C24" s="25"/>
      <c r="D24" s="213" t="s">
        <v>344</v>
      </c>
      <c r="E24" s="214"/>
      <c r="F24" s="25"/>
      <c r="G24" s="26">
        <v>59.75</v>
      </c>
    </row>
    <row r="25" spans="1:7" ht="12">
      <c r="A25" s="25"/>
      <c r="B25" s="25"/>
      <c r="C25" s="25"/>
      <c r="D25" s="213" t="s">
        <v>345</v>
      </c>
      <c r="E25" s="214"/>
      <c r="F25" s="25"/>
      <c r="G25" s="26">
        <v>7.07</v>
      </c>
    </row>
    <row r="26" spans="1:7" ht="12">
      <c r="A26" s="25"/>
      <c r="B26" s="25"/>
      <c r="C26" s="25"/>
      <c r="D26" s="213" t="s">
        <v>346</v>
      </c>
      <c r="E26" s="214"/>
      <c r="F26" s="25"/>
      <c r="G26" s="26">
        <v>55.89</v>
      </c>
    </row>
    <row r="27" spans="1:7" ht="12">
      <c r="A27" s="25"/>
      <c r="B27" s="25"/>
      <c r="C27" s="25"/>
      <c r="D27" s="213" t="s">
        <v>347</v>
      </c>
      <c r="E27" s="214"/>
      <c r="F27" s="25"/>
      <c r="G27" s="26">
        <v>-25.59</v>
      </c>
    </row>
    <row r="28" spans="1:7" ht="12">
      <c r="A28" s="25"/>
      <c r="B28" s="25"/>
      <c r="C28" s="25"/>
      <c r="D28" s="213" t="s">
        <v>348</v>
      </c>
      <c r="E28" s="214"/>
      <c r="F28" s="25"/>
      <c r="G28" s="26">
        <v>-78.79</v>
      </c>
    </row>
    <row r="29" spans="1:8" ht="12">
      <c r="A29" s="25" t="s">
        <v>13</v>
      </c>
      <c r="B29" s="25" t="s">
        <v>85</v>
      </c>
      <c r="C29" s="25" t="s">
        <v>94</v>
      </c>
      <c r="D29" s="213" t="s">
        <v>187</v>
      </c>
      <c r="E29" s="214"/>
      <c r="F29" s="25" t="s">
        <v>273</v>
      </c>
      <c r="G29" s="26">
        <v>32.8</v>
      </c>
      <c r="H29" s="27" t="s">
        <v>385</v>
      </c>
    </row>
    <row r="30" spans="1:8" ht="12">
      <c r="A30" s="25"/>
      <c r="B30" s="25"/>
      <c r="C30" s="25"/>
      <c r="D30" s="213" t="s">
        <v>349</v>
      </c>
      <c r="E30" s="214"/>
      <c r="F30" s="25"/>
      <c r="G30" s="26">
        <v>32.8</v>
      </c>
      <c r="H30" s="27"/>
    </row>
    <row r="31" spans="1:8" ht="12">
      <c r="A31" s="25" t="s">
        <v>14</v>
      </c>
      <c r="B31" s="25" t="s">
        <v>85</v>
      </c>
      <c r="C31" s="25" t="s">
        <v>95</v>
      </c>
      <c r="D31" s="213" t="s">
        <v>188</v>
      </c>
      <c r="E31" s="214"/>
      <c r="F31" s="25" t="s">
        <v>272</v>
      </c>
      <c r="G31" s="26">
        <v>4.32</v>
      </c>
      <c r="H31" s="27" t="s">
        <v>385</v>
      </c>
    </row>
    <row r="32" spans="1:8" ht="12">
      <c r="A32" s="25"/>
      <c r="B32" s="25"/>
      <c r="C32" s="25"/>
      <c r="D32" s="213" t="s">
        <v>350</v>
      </c>
      <c r="E32" s="214"/>
      <c r="F32" s="25"/>
      <c r="G32" s="26">
        <v>4.32</v>
      </c>
      <c r="H32" s="27"/>
    </row>
    <row r="33" spans="1:8" ht="12">
      <c r="A33" s="25" t="s">
        <v>15</v>
      </c>
      <c r="B33" s="25" t="s">
        <v>85</v>
      </c>
      <c r="C33" s="25" t="s">
        <v>96</v>
      </c>
      <c r="D33" s="213" t="s">
        <v>189</v>
      </c>
      <c r="E33" s="214"/>
      <c r="F33" s="25" t="s">
        <v>272</v>
      </c>
      <c r="G33" s="26">
        <v>14.1</v>
      </c>
      <c r="H33" s="27" t="s">
        <v>385</v>
      </c>
    </row>
    <row r="34" spans="1:8" ht="12">
      <c r="A34" s="25"/>
      <c r="B34" s="25"/>
      <c r="C34" s="25"/>
      <c r="D34" s="213" t="s">
        <v>351</v>
      </c>
      <c r="E34" s="214"/>
      <c r="F34" s="25"/>
      <c r="G34" s="26">
        <v>14.1</v>
      </c>
      <c r="H34" s="27"/>
    </row>
    <row r="35" spans="1:8" ht="12">
      <c r="A35" s="25" t="s">
        <v>16</v>
      </c>
      <c r="B35" s="25" t="s">
        <v>85</v>
      </c>
      <c r="C35" s="25" t="s">
        <v>97</v>
      </c>
      <c r="D35" s="213" t="s">
        <v>191</v>
      </c>
      <c r="E35" s="214"/>
      <c r="F35" s="25" t="s">
        <v>274</v>
      </c>
      <c r="G35" s="26">
        <v>1</v>
      </c>
      <c r="H35" s="27" t="s">
        <v>385</v>
      </c>
    </row>
    <row r="36" spans="1:8" ht="12">
      <c r="A36" s="25"/>
      <c r="B36" s="25"/>
      <c r="C36" s="25"/>
      <c r="D36" s="213" t="s">
        <v>7</v>
      </c>
      <c r="E36" s="214"/>
      <c r="F36" s="25"/>
      <c r="G36" s="26">
        <v>1</v>
      </c>
      <c r="H36" s="27"/>
    </row>
    <row r="37" spans="1:8" ht="12">
      <c r="A37" s="25" t="s">
        <v>17</v>
      </c>
      <c r="B37" s="25" t="s">
        <v>85</v>
      </c>
      <c r="C37" s="25" t="s">
        <v>98</v>
      </c>
      <c r="D37" s="213" t="s">
        <v>191</v>
      </c>
      <c r="E37" s="214"/>
      <c r="F37" s="25" t="s">
        <v>274</v>
      </c>
      <c r="G37" s="26">
        <v>1</v>
      </c>
      <c r="H37" s="27" t="s">
        <v>385</v>
      </c>
    </row>
    <row r="38" spans="1:8" ht="12">
      <c r="A38" s="25"/>
      <c r="B38" s="25"/>
      <c r="C38" s="25"/>
      <c r="D38" s="213" t="s">
        <v>7</v>
      </c>
      <c r="E38" s="214"/>
      <c r="F38" s="25"/>
      <c r="G38" s="26">
        <v>1</v>
      </c>
      <c r="H38" s="27"/>
    </row>
    <row r="39" spans="1:8" ht="12">
      <c r="A39" s="25" t="s">
        <v>18</v>
      </c>
      <c r="B39" s="25" t="s">
        <v>85</v>
      </c>
      <c r="C39" s="25" t="s">
        <v>100</v>
      </c>
      <c r="D39" s="213" t="s">
        <v>193</v>
      </c>
      <c r="E39" s="214"/>
      <c r="F39" s="25" t="s">
        <v>271</v>
      </c>
      <c r="G39" s="26">
        <v>3</v>
      </c>
      <c r="H39" s="27" t="s">
        <v>385</v>
      </c>
    </row>
    <row r="40" spans="1:8" ht="12">
      <c r="A40" s="25"/>
      <c r="B40" s="25"/>
      <c r="C40" s="25"/>
      <c r="D40" s="213" t="s">
        <v>9</v>
      </c>
      <c r="E40" s="214"/>
      <c r="F40" s="25"/>
      <c r="G40" s="26">
        <v>3</v>
      </c>
      <c r="H40" s="27"/>
    </row>
    <row r="41" spans="1:8" ht="12">
      <c r="A41" s="25" t="s">
        <v>19</v>
      </c>
      <c r="B41" s="25" t="s">
        <v>85</v>
      </c>
      <c r="C41" s="25" t="s">
        <v>101</v>
      </c>
      <c r="D41" s="213" t="s">
        <v>194</v>
      </c>
      <c r="E41" s="214"/>
      <c r="F41" s="25" t="s">
        <v>275</v>
      </c>
      <c r="G41" s="26">
        <v>30</v>
      </c>
      <c r="H41" s="27" t="s">
        <v>385</v>
      </c>
    </row>
    <row r="42" spans="1:8" ht="12">
      <c r="A42" s="25"/>
      <c r="B42" s="25"/>
      <c r="C42" s="25"/>
      <c r="D42" s="213" t="s">
        <v>352</v>
      </c>
      <c r="E42" s="214"/>
      <c r="F42" s="25"/>
      <c r="G42" s="26">
        <v>30</v>
      </c>
      <c r="H42" s="27"/>
    </row>
    <row r="43" spans="1:8" ht="12">
      <c r="A43" s="25" t="s">
        <v>20</v>
      </c>
      <c r="B43" s="25" t="s">
        <v>85</v>
      </c>
      <c r="C43" s="25" t="s">
        <v>103</v>
      </c>
      <c r="D43" s="213" t="s">
        <v>196</v>
      </c>
      <c r="E43" s="214"/>
      <c r="F43" s="25" t="s">
        <v>274</v>
      </c>
      <c r="G43" s="26">
        <v>3</v>
      </c>
      <c r="H43" s="27" t="s">
        <v>385</v>
      </c>
    </row>
    <row r="44" spans="1:8" ht="12">
      <c r="A44" s="25"/>
      <c r="B44" s="25"/>
      <c r="C44" s="25"/>
      <c r="D44" s="213" t="s">
        <v>9</v>
      </c>
      <c r="E44" s="214"/>
      <c r="F44" s="25"/>
      <c r="G44" s="26">
        <v>3</v>
      </c>
      <c r="H44" s="27"/>
    </row>
    <row r="45" spans="1:8" ht="12">
      <c r="A45" s="25" t="s">
        <v>21</v>
      </c>
      <c r="B45" s="25" t="s">
        <v>85</v>
      </c>
      <c r="C45" s="25" t="s">
        <v>104</v>
      </c>
      <c r="D45" s="213" t="s">
        <v>197</v>
      </c>
      <c r="E45" s="214"/>
      <c r="F45" s="25" t="s">
        <v>274</v>
      </c>
      <c r="G45" s="26">
        <v>3</v>
      </c>
      <c r="H45" s="27" t="s">
        <v>385</v>
      </c>
    </row>
    <row r="46" spans="1:8" ht="12">
      <c r="A46" s="25"/>
      <c r="B46" s="25"/>
      <c r="C46" s="25"/>
      <c r="D46" s="213" t="s">
        <v>9</v>
      </c>
      <c r="E46" s="214"/>
      <c r="F46" s="25"/>
      <c r="G46" s="26">
        <v>3</v>
      </c>
      <c r="H46" s="27"/>
    </row>
    <row r="47" spans="1:8" ht="12">
      <c r="A47" s="25" t="s">
        <v>22</v>
      </c>
      <c r="B47" s="25" t="s">
        <v>85</v>
      </c>
      <c r="C47" s="25" t="s">
        <v>105</v>
      </c>
      <c r="D47" s="213" t="s">
        <v>198</v>
      </c>
      <c r="E47" s="214"/>
      <c r="F47" s="25" t="s">
        <v>274</v>
      </c>
      <c r="G47" s="26">
        <v>3</v>
      </c>
      <c r="H47" s="27" t="s">
        <v>385</v>
      </c>
    </row>
    <row r="48" spans="1:8" ht="12">
      <c r="A48" s="25"/>
      <c r="B48" s="25"/>
      <c r="C48" s="25"/>
      <c r="D48" s="213" t="s">
        <v>9</v>
      </c>
      <c r="E48" s="214"/>
      <c r="F48" s="25"/>
      <c r="G48" s="26">
        <v>3</v>
      </c>
      <c r="H48" s="27"/>
    </row>
    <row r="49" spans="1:8" ht="12">
      <c r="A49" s="25" t="s">
        <v>23</v>
      </c>
      <c r="B49" s="25" t="s">
        <v>85</v>
      </c>
      <c r="C49" s="25" t="s">
        <v>106</v>
      </c>
      <c r="D49" s="213" t="s">
        <v>199</v>
      </c>
      <c r="E49" s="214"/>
      <c r="F49" s="25" t="s">
        <v>275</v>
      </c>
      <c r="G49" s="26">
        <v>24.25</v>
      </c>
      <c r="H49" s="27" t="s">
        <v>385</v>
      </c>
    </row>
    <row r="50" spans="1:8" ht="12">
      <c r="A50" s="25"/>
      <c r="B50" s="25"/>
      <c r="C50" s="25"/>
      <c r="D50" s="213" t="s">
        <v>353</v>
      </c>
      <c r="E50" s="214"/>
      <c r="F50" s="25"/>
      <c r="G50" s="26">
        <v>24.25</v>
      </c>
      <c r="H50" s="27"/>
    </row>
    <row r="51" spans="1:8" ht="12">
      <c r="A51" s="25" t="s">
        <v>24</v>
      </c>
      <c r="B51" s="25" t="s">
        <v>85</v>
      </c>
      <c r="C51" s="25" t="s">
        <v>108</v>
      </c>
      <c r="D51" s="213" t="s">
        <v>201</v>
      </c>
      <c r="E51" s="214"/>
      <c r="F51" s="25" t="s">
        <v>274</v>
      </c>
      <c r="G51" s="26">
        <v>3</v>
      </c>
      <c r="H51" s="27" t="s">
        <v>385</v>
      </c>
    </row>
    <row r="52" spans="1:8" ht="12">
      <c r="A52" s="25"/>
      <c r="B52" s="25"/>
      <c r="C52" s="25"/>
      <c r="D52" s="213" t="s">
        <v>9</v>
      </c>
      <c r="E52" s="214"/>
      <c r="F52" s="25"/>
      <c r="G52" s="26">
        <v>3</v>
      </c>
      <c r="H52" s="27"/>
    </row>
    <row r="53" spans="1:8" ht="12">
      <c r="A53" s="25" t="s">
        <v>25</v>
      </c>
      <c r="B53" s="25" t="s">
        <v>85</v>
      </c>
      <c r="C53" s="25" t="s">
        <v>109</v>
      </c>
      <c r="D53" s="213" t="s">
        <v>202</v>
      </c>
      <c r="E53" s="214"/>
      <c r="F53" s="25" t="s">
        <v>274</v>
      </c>
      <c r="G53" s="26">
        <v>3</v>
      </c>
      <c r="H53" s="27" t="s">
        <v>385</v>
      </c>
    </row>
    <row r="54" spans="1:8" ht="12">
      <c r="A54" s="25"/>
      <c r="B54" s="25"/>
      <c r="C54" s="25"/>
      <c r="D54" s="213" t="s">
        <v>9</v>
      </c>
      <c r="E54" s="214"/>
      <c r="F54" s="25"/>
      <c r="G54" s="26">
        <v>3</v>
      </c>
      <c r="H54" s="27"/>
    </row>
    <row r="55" spans="1:8" ht="12">
      <c r="A55" s="25" t="s">
        <v>26</v>
      </c>
      <c r="B55" s="25" t="s">
        <v>85</v>
      </c>
      <c r="C55" s="25" t="s">
        <v>110</v>
      </c>
      <c r="D55" s="213" t="s">
        <v>203</v>
      </c>
      <c r="E55" s="214"/>
      <c r="F55" s="25" t="s">
        <v>274</v>
      </c>
      <c r="G55" s="26">
        <v>3</v>
      </c>
      <c r="H55" s="27" t="s">
        <v>385</v>
      </c>
    </row>
    <row r="56" spans="1:8" ht="12">
      <c r="A56" s="25"/>
      <c r="B56" s="25"/>
      <c r="C56" s="25"/>
      <c r="D56" s="213" t="s">
        <v>9</v>
      </c>
      <c r="E56" s="214"/>
      <c r="F56" s="25"/>
      <c r="G56" s="26">
        <v>3</v>
      </c>
      <c r="H56" s="27"/>
    </row>
    <row r="57" spans="1:8" ht="12">
      <c r="A57" s="25" t="s">
        <v>27</v>
      </c>
      <c r="B57" s="25" t="s">
        <v>85</v>
      </c>
      <c r="C57" s="25" t="s">
        <v>111</v>
      </c>
      <c r="D57" s="213" t="s">
        <v>204</v>
      </c>
      <c r="E57" s="214"/>
      <c r="F57" s="25" t="s">
        <v>276</v>
      </c>
      <c r="G57" s="26">
        <v>0.05</v>
      </c>
      <c r="H57" s="27" t="s">
        <v>385</v>
      </c>
    </row>
    <row r="58" spans="1:8" ht="12">
      <c r="A58" s="25"/>
      <c r="B58" s="25"/>
      <c r="C58" s="25"/>
      <c r="D58" s="213" t="s">
        <v>354</v>
      </c>
      <c r="E58" s="214"/>
      <c r="F58" s="25"/>
      <c r="G58" s="26">
        <v>0.05</v>
      </c>
      <c r="H58" s="27"/>
    </row>
    <row r="59" spans="1:8" ht="12">
      <c r="A59" s="25" t="s">
        <v>28</v>
      </c>
      <c r="B59" s="25" t="s">
        <v>85</v>
      </c>
      <c r="C59" s="25" t="s">
        <v>112</v>
      </c>
      <c r="D59" s="213" t="s">
        <v>205</v>
      </c>
      <c r="E59" s="214"/>
      <c r="F59" s="25" t="s">
        <v>274</v>
      </c>
      <c r="G59" s="26">
        <v>3</v>
      </c>
      <c r="H59" s="27" t="s">
        <v>385</v>
      </c>
    </row>
    <row r="60" spans="1:8" ht="12">
      <c r="A60" s="25"/>
      <c r="B60" s="25"/>
      <c r="C60" s="25"/>
      <c r="D60" s="213" t="s">
        <v>9</v>
      </c>
      <c r="E60" s="214"/>
      <c r="F60" s="25"/>
      <c r="G60" s="26">
        <v>3</v>
      </c>
      <c r="H60" s="27"/>
    </row>
    <row r="61" spans="1:8" ht="12">
      <c r="A61" s="25" t="s">
        <v>29</v>
      </c>
      <c r="B61" s="25" t="s">
        <v>85</v>
      </c>
      <c r="C61" s="25" t="s">
        <v>113</v>
      </c>
      <c r="D61" s="213" t="s">
        <v>206</v>
      </c>
      <c r="E61" s="214"/>
      <c r="F61" s="25" t="s">
        <v>275</v>
      </c>
      <c r="G61" s="26">
        <v>228.73</v>
      </c>
      <c r="H61" s="27" t="s">
        <v>385</v>
      </c>
    </row>
    <row r="62" spans="1:7" ht="12">
      <c r="A62" s="25"/>
      <c r="B62" s="25"/>
      <c r="C62" s="25"/>
      <c r="D62" s="213" t="s">
        <v>355</v>
      </c>
      <c r="E62" s="214"/>
      <c r="F62" s="25"/>
      <c r="G62" s="26">
        <v>228.73</v>
      </c>
    </row>
    <row r="63" spans="1:8" ht="12">
      <c r="A63" s="25" t="s">
        <v>30</v>
      </c>
      <c r="B63" s="25" t="s">
        <v>85</v>
      </c>
      <c r="C63" s="25" t="s">
        <v>115</v>
      </c>
      <c r="D63" s="213" t="s">
        <v>208</v>
      </c>
      <c r="E63" s="214"/>
      <c r="F63" s="25" t="s">
        <v>272</v>
      </c>
      <c r="G63" s="26">
        <v>60.04</v>
      </c>
      <c r="H63" s="27" t="s">
        <v>385</v>
      </c>
    </row>
    <row r="64" spans="1:7" ht="12">
      <c r="A64" s="25"/>
      <c r="B64" s="25"/>
      <c r="C64" s="25"/>
      <c r="D64" s="213" t="s">
        <v>356</v>
      </c>
      <c r="E64" s="214"/>
      <c r="F64" s="25"/>
      <c r="G64" s="26">
        <v>41.77</v>
      </c>
    </row>
    <row r="65" spans="1:7" ht="12">
      <c r="A65" s="25"/>
      <c r="B65" s="25"/>
      <c r="C65" s="25"/>
      <c r="D65" s="213" t="s">
        <v>357</v>
      </c>
      <c r="E65" s="214"/>
      <c r="F65" s="25"/>
      <c r="G65" s="26">
        <v>18.27</v>
      </c>
    </row>
    <row r="66" spans="1:8" ht="12">
      <c r="A66" s="25" t="s">
        <v>31</v>
      </c>
      <c r="B66" s="25" t="s">
        <v>85</v>
      </c>
      <c r="C66" s="25" t="s">
        <v>116</v>
      </c>
      <c r="D66" s="213" t="s">
        <v>209</v>
      </c>
      <c r="E66" s="214"/>
      <c r="F66" s="25" t="s">
        <v>272</v>
      </c>
      <c r="G66" s="26">
        <v>103.6</v>
      </c>
      <c r="H66" s="27" t="s">
        <v>385</v>
      </c>
    </row>
    <row r="67" spans="1:8" ht="12">
      <c r="A67" s="25"/>
      <c r="B67" s="25"/>
      <c r="C67" s="25"/>
      <c r="D67" s="213" t="s">
        <v>358</v>
      </c>
      <c r="E67" s="214"/>
      <c r="F67" s="25"/>
      <c r="G67" s="26">
        <v>103.6</v>
      </c>
      <c r="H67" s="27"/>
    </row>
    <row r="68" spans="1:8" ht="12">
      <c r="A68" s="25" t="s">
        <v>32</v>
      </c>
      <c r="B68" s="25" t="s">
        <v>85</v>
      </c>
      <c r="C68" s="25" t="s">
        <v>117</v>
      </c>
      <c r="D68" s="213" t="s">
        <v>210</v>
      </c>
      <c r="E68" s="214"/>
      <c r="F68" s="25" t="s">
        <v>273</v>
      </c>
      <c r="G68" s="26">
        <v>43.05</v>
      </c>
      <c r="H68" s="27" t="s">
        <v>385</v>
      </c>
    </row>
    <row r="69" spans="1:8" ht="12">
      <c r="A69" s="25"/>
      <c r="B69" s="25"/>
      <c r="C69" s="25"/>
      <c r="D69" s="213" t="s">
        <v>359</v>
      </c>
      <c r="E69" s="214"/>
      <c r="F69" s="25"/>
      <c r="G69" s="26">
        <v>43.05</v>
      </c>
      <c r="H69" s="27"/>
    </row>
    <row r="70" spans="1:8" ht="12">
      <c r="A70" s="25" t="s">
        <v>33</v>
      </c>
      <c r="B70" s="25" t="s">
        <v>85</v>
      </c>
      <c r="C70" s="25" t="s">
        <v>118</v>
      </c>
      <c r="D70" s="213" t="s">
        <v>211</v>
      </c>
      <c r="E70" s="214"/>
      <c r="F70" s="25" t="s">
        <v>274</v>
      </c>
      <c r="G70" s="26">
        <v>2</v>
      </c>
      <c r="H70" s="27" t="s">
        <v>385</v>
      </c>
    </row>
    <row r="71" spans="1:8" ht="12">
      <c r="A71" s="25"/>
      <c r="B71" s="25"/>
      <c r="C71" s="25"/>
      <c r="D71" s="213" t="s">
        <v>8</v>
      </c>
      <c r="E71" s="214"/>
      <c r="F71" s="25"/>
      <c r="G71" s="26">
        <v>2</v>
      </c>
      <c r="H71" s="27"/>
    </row>
    <row r="72" spans="1:8" ht="12">
      <c r="A72" s="34" t="s">
        <v>34</v>
      </c>
      <c r="B72" s="34" t="s">
        <v>85</v>
      </c>
      <c r="C72" s="34" t="s">
        <v>119</v>
      </c>
      <c r="D72" s="215" t="s">
        <v>212</v>
      </c>
      <c r="E72" s="216"/>
      <c r="F72" s="34" t="s">
        <v>274</v>
      </c>
      <c r="G72" s="35">
        <v>1</v>
      </c>
      <c r="H72" s="27" t="s">
        <v>385</v>
      </c>
    </row>
    <row r="73" spans="1:8" ht="12">
      <c r="A73" s="34"/>
      <c r="B73" s="34"/>
      <c r="C73" s="34"/>
      <c r="D73" s="215" t="s">
        <v>7</v>
      </c>
      <c r="E73" s="216"/>
      <c r="F73" s="34"/>
      <c r="G73" s="35">
        <v>1</v>
      </c>
      <c r="H73" s="27"/>
    </row>
    <row r="74" spans="1:8" ht="12">
      <c r="A74" s="34" t="s">
        <v>35</v>
      </c>
      <c r="B74" s="34" t="s">
        <v>85</v>
      </c>
      <c r="C74" s="34" t="s">
        <v>120</v>
      </c>
      <c r="D74" s="215" t="s">
        <v>213</v>
      </c>
      <c r="E74" s="216"/>
      <c r="F74" s="34" t="s">
        <v>274</v>
      </c>
      <c r="G74" s="35">
        <v>1</v>
      </c>
      <c r="H74" s="27" t="s">
        <v>385</v>
      </c>
    </row>
    <row r="75" spans="1:8" ht="12">
      <c r="A75" s="34"/>
      <c r="B75" s="34"/>
      <c r="C75" s="34"/>
      <c r="D75" s="215" t="s">
        <v>7</v>
      </c>
      <c r="E75" s="216"/>
      <c r="F75" s="34"/>
      <c r="G75" s="35">
        <v>1</v>
      </c>
      <c r="H75" s="27"/>
    </row>
    <row r="76" spans="1:8" ht="12">
      <c r="A76" s="25" t="s">
        <v>36</v>
      </c>
      <c r="B76" s="25" t="s">
        <v>85</v>
      </c>
      <c r="C76" s="25" t="s">
        <v>121</v>
      </c>
      <c r="D76" s="213" t="s">
        <v>214</v>
      </c>
      <c r="E76" s="214"/>
      <c r="F76" s="25" t="s">
        <v>272</v>
      </c>
      <c r="G76" s="26">
        <v>20.01</v>
      </c>
      <c r="H76" s="27" t="s">
        <v>385</v>
      </c>
    </row>
    <row r="77" spans="1:8" ht="12">
      <c r="A77" s="25"/>
      <c r="B77" s="25"/>
      <c r="C77" s="25"/>
      <c r="D77" s="213" t="s">
        <v>360</v>
      </c>
      <c r="E77" s="214"/>
      <c r="F77" s="25"/>
      <c r="G77" s="26">
        <v>20.01</v>
      </c>
      <c r="H77" s="27"/>
    </row>
    <row r="78" spans="1:8" ht="12">
      <c r="A78" s="25" t="s">
        <v>37</v>
      </c>
      <c r="B78" s="25" t="s">
        <v>85</v>
      </c>
      <c r="C78" s="25" t="s">
        <v>122</v>
      </c>
      <c r="D78" s="213" t="s">
        <v>215</v>
      </c>
      <c r="E78" s="214"/>
      <c r="F78" s="25" t="s">
        <v>273</v>
      </c>
      <c r="G78" s="26">
        <v>32</v>
      </c>
      <c r="H78" s="27" t="s">
        <v>385</v>
      </c>
    </row>
    <row r="79" spans="1:8" ht="12">
      <c r="A79" s="25"/>
      <c r="B79" s="25"/>
      <c r="C79" s="25"/>
      <c r="D79" s="213" t="s">
        <v>361</v>
      </c>
      <c r="E79" s="214"/>
      <c r="F79" s="25"/>
      <c r="G79" s="26">
        <v>32</v>
      </c>
      <c r="H79" s="27"/>
    </row>
    <row r="80" spans="1:8" ht="12">
      <c r="A80" s="25" t="s">
        <v>38</v>
      </c>
      <c r="B80" s="25" t="s">
        <v>85</v>
      </c>
      <c r="C80" s="25" t="s">
        <v>123</v>
      </c>
      <c r="D80" s="213" t="s">
        <v>216</v>
      </c>
      <c r="E80" s="214"/>
      <c r="F80" s="25" t="s">
        <v>272</v>
      </c>
      <c r="G80" s="26">
        <v>29.42</v>
      </c>
      <c r="H80" s="27" t="s">
        <v>385</v>
      </c>
    </row>
    <row r="81" spans="1:8" ht="12">
      <c r="A81" s="25"/>
      <c r="B81" s="25"/>
      <c r="C81" s="25"/>
      <c r="D81" s="213" t="s">
        <v>362</v>
      </c>
      <c r="E81" s="214"/>
      <c r="F81" s="25"/>
      <c r="G81" s="26">
        <v>29.42</v>
      </c>
      <c r="H81" s="27"/>
    </row>
    <row r="82" spans="1:8" ht="12">
      <c r="A82" s="34" t="s">
        <v>39</v>
      </c>
      <c r="B82" s="34" t="s">
        <v>85</v>
      </c>
      <c r="C82" s="34" t="s">
        <v>124</v>
      </c>
      <c r="D82" s="215" t="s">
        <v>217</v>
      </c>
      <c r="E82" s="216"/>
      <c r="F82" s="34" t="s">
        <v>272</v>
      </c>
      <c r="G82" s="35">
        <v>56.84</v>
      </c>
      <c r="H82" s="27" t="s">
        <v>385</v>
      </c>
    </row>
    <row r="83" spans="1:8" ht="12">
      <c r="A83" s="34"/>
      <c r="B83" s="34"/>
      <c r="C83" s="34"/>
      <c r="D83" s="215" t="s">
        <v>363</v>
      </c>
      <c r="E83" s="216"/>
      <c r="F83" s="34"/>
      <c r="G83" s="35">
        <v>56.84</v>
      </c>
      <c r="H83" s="27"/>
    </row>
    <row r="84" spans="1:8" ht="12">
      <c r="A84" s="25" t="s">
        <v>40</v>
      </c>
      <c r="B84" s="25" t="s">
        <v>85</v>
      </c>
      <c r="C84" s="25" t="s">
        <v>125</v>
      </c>
      <c r="D84" s="213" t="s">
        <v>218</v>
      </c>
      <c r="E84" s="214"/>
      <c r="F84" s="25" t="s">
        <v>275</v>
      </c>
      <c r="G84" s="26">
        <v>613.94</v>
      </c>
      <c r="H84" s="27" t="s">
        <v>385</v>
      </c>
    </row>
    <row r="85" spans="1:8" ht="12">
      <c r="A85" s="25"/>
      <c r="B85" s="25"/>
      <c r="C85" s="25"/>
      <c r="D85" s="213" t="s">
        <v>364</v>
      </c>
      <c r="E85" s="214"/>
      <c r="F85" s="25"/>
      <c r="G85" s="26">
        <v>613.94</v>
      </c>
      <c r="H85" s="27"/>
    </row>
    <row r="86" spans="1:8" ht="12">
      <c r="A86" s="25" t="s">
        <v>41</v>
      </c>
      <c r="B86" s="25" t="s">
        <v>85</v>
      </c>
      <c r="C86" s="25" t="s">
        <v>127</v>
      </c>
      <c r="D86" s="213" t="s">
        <v>220</v>
      </c>
      <c r="E86" s="214"/>
      <c r="F86" s="25" t="s">
        <v>272</v>
      </c>
      <c r="G86" s="26">
        <v>117.7</v>
      </c>
      <c r="H86" s="27" t="s">
        <v>385</v>
      </c>
    </row>
    <row r="87" spans="1:8" ht="12">
      <c r="A87" s="25"/>
      <c r="B87" s="25"/>
      <c r="C87" s="25"/>
      <c r="D87" s="213" t="s">
        <v>340</v>
      </c>
      <c r="E87" s="214"/>
      <c r="F87" s="25"/>
      <c r="G87" s="26">
        <v>117.7</v>
      </c>
      <c r="H87" s="27"/>
    </row>
    <row r="88" spans="1:8" ht="12">
      <c r="A88" s="25" t="s">
        <v>42</v>
      </c>
      <c r="B88" s="25" t="s">
        <v>85</v>
      </c>
      <c r="C88" s="25" t="s">
        <v>128</v>
      </c>
      <c r="D88" s="213" t="s">
        <v>221</v>
      </c>
      <c r="E88" s="214"/>
      <c r="F88" s="25" t="s">
        <v>272</v>
      </c>
      <c r="G88" s="26">
        <v>117.7</v>
      </c>
      <c r="H88" s="27" t="s">
        <v>385</v>
      </c>
    </row>
    <row r="89" spans="1:8" ht="12">
      <c r="A89" s="25"/>
      <c r="B89" s="25"/>
      <c r="C89" s="25"/>
      <c r="D89" s="213" t="s">
        <v>340</v>
      </c>
      <c r="E89" s="214"/>
      <c r="F89" s="25"/>
      <c r="G89" s="26">
        <v>117.7</v>
      </c>
      <c r="H89" s="27"/>
    </row>
    <row r="90" spans="1:8" ht="12">
      <c r="A90" s="25" t="s">
        <v>43</v>
      </c>
      <c r="B90" s="25" t="s">
        <v>85</v>
      </c>
      <c r="C90" s="25" t="s">
        <v>129</v>
      </c>
      <c r="D90" s="213" t="s">
        <v>222</v>
      </c>
      <c r="E90" s="214"/>
      <c r="F90" s="25" t="s">
        <v>272</v>
      </c>
      <c r="G90" s="26">
        <v>117.7</v>
      </c>
      <c r="H90" s="27" t="s">
        <v>385</v>
      </c>
    </row>
    <row r="91" spans="1:7" ht="12">
      <c r="A91" s="25"/>
      <c r="B91" s="25"/>
      <c r="C91" s="25"/>
      <c r="D91" s="213" t="s">
        <v>340</v>
      </c>
      <c r="E91" s="214"/>
      <c r="F91" s="25"/>
      <c r="G91" s="26">
        <v>117.7</v>
      </c>
    </row>
    <row r="92" spans="1:8" ht="12">
      <c r="A92" s="34" t="s">
        <v>44</v>
      </c>
      <c r="B92" s="34" t="s">
        <v>85</v>
      </c>
      <c r="C92" s="34" t="s">
        <v>130</v>
      </c>
      <c r="D92" s="215" t="s">
        <v>223</v>
      </c>
      <c r="E92" s="216"/>
      <c r="F92" s="34" t="s">
        <v>277</v>
      </c>
      <c r="G92" s="35">
        <v>123.59</v>
      </c>
      <c r="H92" s="36"/>
    </row>
    <row r="93" spans="1:7" ht="12">
      <c r="A93" s="34"/>
      <c r="B93" s="34"/>
      <c r="C93" s="34"/>
      <c r="D93" s="215" t="s">
        <v>365</v>
      </c>
      <c r="E93" s="216"/>
      <c r="F93" s="34"/>
      <c r="G93" s="35">
        <v>123.59</v>
      </c>
    </row>
    <row r="94" spans="1:8" ht="12">
      <c r="A94" s="25" t="s">
        <v>45</v>
      </c>
      <c r="B94" s="25" t="s">
        <v>85</v>
      </c>
      <c r="C94" s="25" t="s">
        <v>131</v>
      </c>
      <c r="D94" s="213" t="s">
        <v>224</v>
      </c>
      <c r="E94" s="214"/>
      <c r="F94" s="25" t="s">
        <v>273</v>
      </c>
      <c r="G94" s="26">
        <v>48.61</v>
      </c>
      <c r="H94" s="27" t="s">
        <v>385</v>
      </c>
    </row>
    <row r="95" spans="1:7" ht="12">
      <c r="A95" s="25"/>
      <c r="B95" s="25"/>
      <c r="C95" s="25"/>
      <c r="D95" s="213" t="s">
        <v>366</v>
      </c>
      <c r="E95" s="214"/>
      <c r="F95" s="25"/>
      <c r="G95" s="26">
        <v>38.18</v>
      </c>
    </row>
    <row r="96" spans="1:7" ht="12">
      <c r="A96" s="25"/>
      <c r="B96" s="25"/>
      <c r="C96" s="25"/>
      <c r="D96" s="213" t="s">
        <v>367</v>
      </c>
      <c r="E96" s="214"/>
      <c r="F96" s="25"/>
      <c r="G96" s="26">
        <v>10.43</v>
      </c>
    </row>
    <row r="97" spans="1:8" ht="12">
      <c r="A97" s="34" t="s">
        <v>46</v>
      </c>
      <c r="B97" s="34" t="s">
        <v>85</v>
      </c>
      <c r="C97" s="34" t="s">
        <v>132</v>
      </c>
      <c r="D97" s="215" t="s">
        <v>225</v>
      </c>
      <c r="E97" s="216"/>
      <c r="F97" s="34" t="s">
        <v>278</v>
      </c>
      <c r="G97" s="35">
        <v>53.47</v>
      </c>
      <c r="H97" s="36"/>
    </row>
    <row r="98" spans="1:7" ht="12">
      <c r="A98" s="34"/>
      <c r="B98" s="34"/>
      <c r="C98" s="34"/>
      <c r="D98" s="215" t="s">
        <v>368</v>
      </c>
      <c r="E98" s="216"/>
      <c r="F98" s="34"/>
      <c r="G98" s="35">
        <v>53.47</v>
      </c>
    </row>
    <row r="99" spans="1:8" ht="12">
      <c r="A99" s="25" t="s">
        <v>47</v>
      </c>
      <c r="B99" s="25" t="s">
        <v>85</v>
      </c>
      <c r="C99" s="25" t="s">
        <v>133</v>
      </c>
      <c r="D99" s="213" t="s">
        <v>226</v>
      </c>
      <c r="E99" s="214"/>
      <c r="F99" s="25" t="s">
        <v>275</v>
      </c>
      <c r="G99" s="26">
        <v>1763.97</v>
      </c>
      <c r="H99" s="27" t="s">
        <v>385</v>
      </c>
    </row>
    <row r="100" spans="1:8" ht="12">
      <c r="A100" s="25"/>
      <c r="B100" s="25"/>
      <c r="C100" s="25"/>
      <c r="D100" s="213" t="s">
        <v>369</v>
      </c>
      <c r="E100" s="214"/>
      <c r="F100" s="25"/>
      <c r="G100" s="26">
        <v>1763.97</v>
      </c>
      <c r="H100" s="27"/>
    </row>
    <row r="101" spans="1:8" ht="12">
      <c r="A101" s="25" t="s">
        <v>48</v>
      </c>
      <c r="B101" s="25" t="s">
        <v>85</v>
      </c>
      <c r="C101" s="25" t="s">
        <v>135</v>
      </c>
      <c r="D101" s="213" t="s">
        <v>228</v>
      </c>
      <c r="E101" s="214"/>
      <c r="F101" s="25" t="s">
        <v>272</v>
      </c>
      <c r="G101" s="26">
        <v>103.6</v>
      </c>
      <c r="H101" s="27" t="s">
        <v>385</v>
      </c>
    </row>
    <row r="102" spans="1:8" ht="12">
      <c r="A102" s="25"/>
      <c r="B102" s="25"/>
      <c r="C102" s="25"/>
      <c r="D102" s="213" t="s">
        <v>358</v>
      </c>
      <c r="E102" s="214"/>
      <c r="F102" s="25"/>
      <c r="G102" s="26">
        <v>103.6</v>
      </c>
      <c r="H102" s="27"/>
    </row>
    <row r="103" spans="1:8" ht="12">
      <c r="A103" s="25" t="s">
        <v>49</v>
      </c>
      <c r="B103" s="25" t="s">
        <v>85</v>
      </c>
      <c r="C103" s="25" t="s">
        <v>136</v>
      </c>
      <c r="D103" s="213" t="s">
        <v>229</v>
      </c>
      <c r="E103" s="214"/>
      <c r="F103" s="25" t="s">
        <v>272</v>
      </c>
      <c r="G103" s="26">
        <v>98.28</v>
      </c>
      <c r="H103" s="27" t="s">
        <v>385</v>
      </c>
    </row>
    <row r="104" spans="1:8" ht="12">
      <c r="A104" s="25"/>
      <c r="B104" s="25"/>
      <c r="C104" s="25"/>
      <c r="D104" s="213" t="s">
        <v>370</v>
      </c>
      <c r="E104" s="214"/>
      <c r="F104" s="25"/>
      <c r="G104" s="26">
        <v>98.28</v>
      </c>
      <c r="H104" s="27"/>
    </row>
    <row r="105" spans="1:8" ht="12">
      <c r="A105" s="25" t="s">
        <v>50</v>
      </c>
      <c r="B105" s="25" t="s">
        <v>85</v>
      </c>
      <c r="C105" s="25" t="s">
        <v>137</v>
      </c>
      <c r="D105" s="213" t="s">
        <v>230</v>
      </c>
      <c r="E105" s="214"/>
      <c r="F105" s="25" t="s">
        <v>272</v>
      </c>
      <c r="G105" s="26">
        <v>98.28</v>
      </c>
      <c r="H105" s="27" t="s">
        <v>385</v>
      </c>
    </row>
    <row r="106" spans="1:8" ht="12">
      <c r="A106" s="25"/>
      <c r="B106" s="25"/>
      <c r="C106" s="25"/>
      <c r="D106" s="213" t="s">
        <v>371</v>
      </c>
      <c r="E106" s="214"/>
      <c r="F106" s="25"/>
      <c r="G106" s="26">
        <v>98.28</v>
      </c>
      <c r="H106" s="27"/>
    </row>
    <row r="107" spans="1:8" ht="12">
      <c r="A107" s="25" t="s">
        <v>51</v>
      </c>
      <c r="B107" s="25" t="s">
        <v>85</v>
      </c>
      <c r="C107" s="25" t="s">
        <v>138</v>
      </c>
      <c r="D107" s="213" t="s">
        <v>231</v>
      </c>
      <c r="E107" s="214"/>
      <c r="F107" s="25" t="s">
        <v>272</v>
      </c>
      <c r="G107" s="26">
        <v>103.6</v>
      </c>
      <c r="H107" s="27" t="s">
        <v>385</v>
      </c>
    </row>
    <row r="108" spans="1:8" ht="12">
      <c r="A108" s="25"/>
      <c r="B108" s="25"/>
      <c r="C108" s="25"/>
      <c r="D108" s="213" t="s">
        <v>358</v>
      </c>
      <c r="E108" s="214"/>
      <c r="F108" s="25"/>
      <c r="G108" s="26">
        <v>103.6</v>
      </c>
      <c r="H108" s="27"/>
    </row>
    <row r="109" spans="1:8" ht="12">
      <c r="A109" s="25" t="s">
        <v>52</v>
      </c>
      <c r="B109" s="25" t="s">
        <v>85</v>
      </c>
      <c r="C109" s="25" t="s">
        <v>140</v>
      </c>
      <c r="D109" s="213" t="s">
        <v>233</v>
      </c>
      <c r="E109" s="214"/>
      <c r="F109" s="25" t="s">
        <v>272</v>
      </c>
      <c r="G109" s="26">
        <v>50</v>
      </c>
      <c r="H109" s="27" t="s">
        <v>385</v>
      </c>
    </row>
    <row r="110" spans="1:7" ht="12">
      <c r="A110" s="25"/>
      <c r="B110" s="25"/>
      <c r="C110" s="25"/>
      <c r="D110" s="213" t="s">
        <v>56</v>
      </c>
      <c r="E110" s="214"/>
      <c r="F110" s="25"/>
      <c r="G110" s="26">
        <v>50</v>
      </c>
    </row>
    <row r="111" spans="1:8" ht="12">
      <c r="A111" s="25" t="s">
        <v>53</v>
      </c>
      <c r="B111" s="25" t="s">
        <v>85</v>
      </c>
      <c r="C111" s="25" t="s">
        <v>90</v>
      </c>
      <c r="D111" s="213" t="s">
        <v>179</v>
      </c>
      <c r="E111" s="214"/>
      <c r="F111" s="25" t="s">
        <v>271</v>
      </c>
      <c r="G111" s="26">
        <v>6</v>
      </c>
      <c r="H111" s="27"/>
    </row>
    <row r="112" spans="1:7" ht="12">
      <c r="A112" s="25"/>
      <c r="B112" s="25"/>
      <c r="C112" s="25"/>
      <c r="D112" s="213" t="s">
        <v>12</v>
      </c>
      <c r="E112" s="214"/>
      <c r="F112" s="25"/>
      <c r="G112" s="26">
        <v>6</v>
      </c>
    </row>
    <row r="113" spans="1:8" ht="12">
      <c r="A113" s="25" t="s">
        <v>54</v>
      </c>
      <c r="B113" s="25" t="s">
        <v>85</v>
      </c>
      <c r="C113" s="25" t="s">
        <v>89</v>
      </c>
      <c r="D113" s="213" t="s">
        <v>180</v>
      </c>
      <c r="E113" s="214"/>
      <c r="F113" s="25" t="s">
        <v>271</v>
      </c>
      <c r="G113" s="26">
        <v>5</v>
      </c>
      <c r="H113" s="27"/>
    </row>
    <row r="114" spans="1:7" ht="12">
      <c r="A114" s="25"/>
      <c r="B114" s="25"/>
      <c r="C114" s="25"/>
      <c r="D114" s="213" t="s">
        <v>11</v>
      </c>
      <c r="E114" s="214"/>
      <c r="F114" s="25"/>
      <c r="G114" s="26">
        <v>5</v>
      </c>
    </row>
    <row r="115" spans="1:8" ht="12">
      <c r="A115" s="25" t="s">
        <v>55</v>
      </c>
      <c r="B115" s="25" t="s">
        <v>85</v>
      </c>
      <c r="C115" s="25" t="s">
        <v>141</v>
      </c>
      <c r="D115" s="213" t="s">
        <v>234</v>
      </c>
      <c r="E115" s="214"/>
      <c r="F115" s="25" t="s">
        <v>271</v>
      </c>
      <c r="G115" s="26">
        <v>8</v>
      </c>
      <c r="H115" s="27"/>
    </row>
    <row r="116" spans="1:7" ht="12">
      <c r="A116" s="25"/>
      <c r="B116" s="25"/>
      <c r="C116" s="25"/>
      <c r="D116" s="213" t="s">
        <v>14</v>
      </c>
      <c r="E116" s="214"/>
      <c r="F116" s="25"/>
      <c r="G116" s="26">
        <v>8</v>
      </c>
    </row>
    <row r="117" spans="1:8" ht="12">
      <c r="A117" s="25" t="s">
        <v>56</v>
      </c>
      <c r="B117" s="25" t="s">
        <v>85</v>
      </c>
      <c r="C117" s="25" t="s">
        <v>142</v>
      </c>
      <c r="D117" s="213" t="s">
        <v>235</v>
      </c>
      <c r="E117" s="214"/>
      <c r="F117" s="25" t="s">
        <v>271</v>
      </c>
      <c r="G117" s="26">
        <v>26</v>
      </c>
      <c r="H117" s="27"/>
    </row>
    <row r="118" spans="1:7" ht="12">
      <c r="A118" s="25"/>
      <c r="B118" s="25"/>
      <c r="C118" s="25"/>
      <c r="D118" s="213" t="s">
        <v>372</v>
      </c>
      <c r="E118" s="214"/>
      <c r="F118" s="25"/>
      <c r="G118" s="26">
        <v>26</v>
      </c>
    </row>
    <row r="119" spans="1:8" ht="12">
      <c r="A119" s="25" t="s">
        <v>57</v>
      </c>
      <c r="B119" s="25" t="s">
        <v>85</v>
      </c>
      <c r="C119" s="25" t="s">
        <v>143</v>
      </c>
      <c r="D119" s="213" t="s">
        <v>236</v>
      </c>
      <c r="E119" s="214"/>
      <c r="F119" s="25" t="s">
        <v>271</v>
      </c>
      <c r="G119" s="26">
        <v>57</v>
      </c>
      <c r="H119" s="27"/>
    </row>
    <row r="120" spans="1:7" ht="12">
      <c r="A120" s="25"/>
      <c r="B120" s="25"/>
      <c r="C120" s="25"/>
      <c r="D120" s="213" t="s">
        <v>63</v>
      </c>
      <c r="E120" s="214"/>
      <c r="F120" s="25"/>
      <c r="G120" s="26">
        <v>57</v>
      </c>
    </row>
    <row r="121" spans="1:8" ht="12">
      <c r="A121" s="25" t="s">
        <v>58</v>
      </c>
      <c r="B121" s="25" t="s">
        <v>85</v>
      </c>
      <c r="C121" s="25" t="s">
        <v>144</v>
      </c>
      <c r="D121" s="213" t="s">
        <v>237</v>
      </c>
      <c r="E121" s="214"/>
      <c r="F121" s="25" t="s">
        <v>271</v>
      </c>
      <c r="G121" s="26">
        <v>0</v>
      </c>
      <c r="H121" s="27"/>
    </row>
    <row r="122" spans="1:8" ht="12">
      <c r="A122" s="25" t="s">
        <v>59</v>
      </c>
      <c r="B122" s="25" t="s">
        <v>85</v>
      </c>
      <c r="C122" s="25" t="s">
        <v>145</v>
      </c>
      <c r="D122" s="213" t="s">
        <v>238</v>
      </c>
      <c r="E122" s="214"/>
      <c r="F122" s="25" t="s">
        <v>271</v>
      </c>
      <c r="G122" s="26">
        <v>2</v>
      </c>
      <c r="H122" s="27"/>
    </row>
    <row r="123" spans="1:7" ht="12">
      <c r="A123" s="25"/>
      <c r="B123" s="25"/>
      <c r="C123" s="25"/>
      <c r="D123" s="213" t="s">
        <v>8</v>
      </c>
      <c r="E123" s="214"/>
      <c r="F123" s="25"/>
      <c r="G123" s="26">
        <v>2</v>
      </c>
    </row>
    <row r="124" spans="1:8" ht="12">
      <c r="A124" s="25" t="s">
        <v>60</v>
      </c>
      <c r="B124" s="25" t="s">
        <v>85</v>
      </c>
      <c r="C124" s="25" t="s">
        <v>146</v>
      </c>
      <c r="D124" s="213" t="s">
        <v>239</v>
      </c>
      <c r="E124" s="214"/>
      <c r="F124" s="25" t="s">
        <v>271</v>
      </c>
      <c r="G124" s="26">
        <v>29</v>
      </c>
      <c r="H124" s="27"/>
    </row>
    <row r="125" spans="1:7" ht="12">
      <c r="A125" s="25"/>
      <c r="B125" s="25"/>
      <c r="C125" s="25"/>
      <c r="D125" s="213" t="s">
        <v>35</v>
      </c>
      <c r="E125" s="214"/>
      <c r="F125" s="25"/>
      <c r="G125" s="26">
        <v>29</v>
      </c>
    </row>
    <row r="126" spans="1:8" ht="12">
      <c r="A126" s="25" t="s">
        <v>61</v>
      </c>
      <c r="B126" s="25" t="s">
        <v>85</v>
      </c>
      <c r="C126" s="25" t="s">
        <v>147</v>
      </c>
      <c r="D126" s="213" t="s">
        <v>240</v>
      </c>
      <c r="E126" s="214"/>
      <c r="F126" s="25" t="s">
        <v>271</v>
      </c>
      <c r="G126" s="26">
        <v>1</v>
      </c>
      <c r="H126" s="27"/>
    </row>
    <row r="127" spans="1:7" ht="12">
      <c r="A127" s="25"/>
      <c r="B127" s="25"/>
      <c r="C127" s="25"/>
      <c r="D127" s="213" t="s">
        <v>7</v>
      </c>
      <c r="E127" s="214"/>
      <c r="F127" s="25"/>
      <c r="G127" s="26">
        <v>1</v>
      </c>
    </row>
    <row r="128" spans="1:8" ht="12">
      <c r="A128" s="25" t="s">
        <v>62</v>
      </c>
      <c r="B128" s="25" t="s">
        <v>85</v>
      </c>
      <c r="C128" s="25" t="s">
        <v>148</v>
      </c>
      <c r="D128" s="213" t="s">
        <v>241</v>
      </c>
      <c r="E128" s="214"/>
      <c r="F128" s="25" t="s">
        <v>271</v>
      </c>
      <c r="G128" s="26">
        <v>4</v>
      </c>
      <c r="H128" s="27"/>
    </row>
    <row r="129" spans="1:7" ht="12">
      <c r="A129" s="25"/>
      <c r="B129" s="25"/>
      <c r="C129" s="25"/>
      <c r="D129" s="213" t="s">
        <v>10</v>
      </c>
      <c r="E129" s="214"/>
      <c r="F129" s="25"/>
      <c r="G129" s="26">
        <v>4</v>
      </c>
    </row>
    <row r="130" spans="1:8" ht="12">
      <c r="A130" s="25" t="s">
        <v>63</v>
      </c>
      <c r="B130" s="25" t="s">
        <v>85</v>
      </c>
      <c r="C130" s="25" t="s">
        <v>149</v>
      </c>
      <c r="D130" s="213" t="s">
        <v>242</v>
      </c>
      <c r="E130" s="214"/>
      <c r="F130" s="25" t="s">
        <v>271</v>
      </c>
      <c r="G130" s="26">
        <v>1</v>
      </c>
      <c r="H130" s="27"/>
    </row>
    <row r="131" spans="1:7" ht="12">
      <c r="A131" s="25"/>
      <c r="B131" s="25"/>
      <c r="C131" s="25"/>
      <c r="D131" s="213" t="s">
        <v>7</v>
      </c>
      <c r="E131" s="214"/>
      <c r="F131" s="25"/>
      <c r="G131" s="26">
        <v>1</v>
      </c>
    </row>
    <row r="132" spans="1:8" ht="12">
      <c r="A132" s="25" t="s">
        <v>64</v>
      </c>
      <c r="B132" s="25" t="s">
        <v>85</v>
      </c>
      <c r="C132" s="25" t="s">
        <v>150</v>
      </c>
      <c r="D132" s="213" t="s">
        <v>243</v>
      </c>
      <c r="E132" s="214"/>
      <c r="F132" s="25" t="s">
        <v>271</v>
      </c>
      <c r="G132" s="26">
        <v>1</v>
      </c>
      <c r="H132" s="27"/>
    </row>
    <row r="133" spans="1:7" ht="12">
      <c r="A133" s="25"/>
      <c r="B133" s="25"/>
      <c r="C133" s="25"/>
      <c r="D133" s="213" t="s">
        <v>7</v>
      </c>
      <c r="E133" s="214"/>
      <c r="F133" s="25"/>
      <c r="G133" s="26">
        <v>1</v>
      </c>
    </row>
    <row r="134" spans="1:8" ht="12">
      <c r="A134" s="25" t="s">
        <v>65</v>
      </c>
      <c r="B134" s="25" t="s">
        <v>85</v>
      </c>
      <c r="C134" s="25" t="s">
        <v>151</v>
      </c>
      <c r="D134" s="213" t="s">
        <v>244</v>
      </c>
      <c r="E134" s="214"/>
      <c r="F134" s="25" t="s">
        <v>271</v>
      </c>
      <c r="G134" s="26">
        <v>1</v>
      </c>
      <c r="H134" s="27"/>
    </row>
    <row r="135" spans="1:7" ht="12">
      <c r="A135" s="25"/>
      <c r="B135" s="25"/>
      <c r="C135" s="25"/>
      <c r="D135" s="213" t="s">
        <v>7</v>
      </c>
      <c r="E135" s="214"/>
      <c r="F135" s="25"/>
      <c r="G135" s="26">
        <v>1</v>
      </c>
    </row>
    <row r="136" spans="1:8" ht="12">
      <c r="A136" s="25" t="s">
        <v>66</v>
      </c>
      <c r="B136" s="25" t="s">
        <v>85</v>
      </c>
      <c r="C136" s="25" t="s">
        <v>153</v>
      </c>
      <c r="D136" s="213" t="s">
        <v>246</v>
      </c>
      <c r="E136" s="214"/>
      <c r="F136" s="25" t="s">
        <v>272</v>
      </c>
      <c r="G136" s="26">
        <v>117.1</v>
      </c>
      <c r="H136" s="27" t="s">
        <v>385</v>
      </c>
    </row>
    <row r="137" spans="1:8" ht="12">
      <c r="A137" s="25"/>
      <c r="B137" s="25"/>
      <c r="C137" s="25"/>
      <c r="D137" s="213" t="s">
        <v>373</v>
      </c>
      <c r="E137" s="214"/>
      <c r="F137" s="25"/>
      <c r="G137" s="26">
        <v>117.1</v>
      </c>
      <c r="H137" s="27"/>
    </row>
    <row r="138" spans="1:8" ht="12">
      <c r="A138" s="25" t="s">
        <v>67</v>
      </c>
      <c r="B138" s="25" t="s">
        <v>85</v>
      </c>
      <c r="C138" s="25" t="s">
        <v>154</v>
      </c>
      <c r="D138" s="213" t="s">
        <v>247</v>
      </c>
      <c r="E138" s="214"/>
      <c r="F138" s="25" t="s">
        <v>272</v>
      </c>
      <c r="G138" s="26">
        <v>1.8</v>
      </c>
      <c r="H138" s="27" t="s">
        <v>385</v>
      </c>
    </row>
    <row r="139" spans="1:8" ht="12">
      <c r="A139" s="25"/>
      <c r="B139" s="25"/>
      <c r="C139" s="25"/>
      <c r="D139" s="213" t="s">
        <v>374</v>
      </c>
      <c r="E139" s="214"/>
      <c r="F139" s="25"/>
      <c r="G139" s="26">
        <v>1.8</v>
      </c>
      <c r="H139" s="27"/>
    </row>
    <row r="140" spans="1:8" ht="12">
      <c r="A140" s="25" t="s">
        <v>68</v>
      </c>
      <c r="B140" s="25" t="s">
        <v>85</v>
      </c>
      <c r="C140" s="25" t="s">
        <v>155</v>
      </c>
      <c r="D140" s="213" t="s">
        <v>248</v>
      </c>
      <c r="E140" s="214"/>
      <c r="F140" s="25" t="s">
        <v>272</v>
      </c>
      <c r="G140" s="26">
        <v>2.2</v>
      </c>
      <c r="H140" s="27" t="s">
        <v>385</v>
      </c>
    </row>
    <row r="141" spans="1:8" ht="12">
      <c r="A141" s="25"/>
      <c r="B141" s="25"/>
      <c r="C141" s="25"/>
      <c r="D141" s="213" t="s">
        <v>375</v>
      </c>
      <c r="E141" s="214"/>
      <c r="F141" s="25"/>
      <c r="G141" s="26">
        <v>2.2</v>
      </c>
      <c r="H141" s="27"/>
    </row>
    <row r="142" spans="1:8" ht="12">
      <c r="A142" s="25" t="s">
        <v>69</v>
      </c>
      <c r="B142" s="25" t="s">
        <v>85</v>
      </c>
      <c r="C142" s="25" t="s">
        <v>156</v>
      </c>
      <c r="D142" s="213" t="s">
        <v>249</v>
      </c>
      <c r="E142" s="214"/>
      <c r="F142" s="25" t="s">
        <v>274</v>
      </c>
      <c r="G142" s="26">
        <v>2</v>
      </c>
      <c r="H142" s="27" t="s">
        <v>385</v>
      </c>
    </row>
    <row r="143" spans="1:8" ht="12">
      <c r="A143" s="25"/>
      <c r="B143" s="25"/>
      <c r="C143" s="25"/>
      <c r="D143" s="213" t="s">
        <v>8</v>
      </c>
      <c r="E143" s="214"/>
      <c r="F143" s="25"/>
      <c r="G143" s="26">
        <v>2</v>
      </c>
      <c r="H143" s="27"/>
    </row>
    <row r="144" spans="1:8" ht="12">
      <c r="A144" s="25" t="s">
        <v>70</v>
      </c>
      <c r="B144" s="25" t="s">
        <v>85</v>
      </c>
      <c r="C144" s="25" t="s">
        <v>158</v>
      </c>
      <c r="D144" s="213" t="s">
        <v>251</v>
      </c>
      <c r="E144" s="214"/>
      <c r="F144" s="25" t="s">
        <v>272</v>
      </c>
      <c r="G144" s="26">
        <v>14.1</v>
      </c>
      <c r="H144" s="27" t="s">
        <v>385</v>
      </c>
    </row>
    <row r="145" spans="1:8" ht="12">
      <c r="A145" s="25"/>
      <c r="B145" s="25"/>
      <c r="C145" s="25"/>
      <c r="D145" s="213" t="s">
        <v>351</v>
      </c>
      <c r="E145" s="214"/>
      <c r="F145" s="25"/>
      <c r="G145" s="26">
        <v>14.1</v>
      </c>
      <c r="H145" s="27"/>
    </row>
    <row r="146" spans="1:8" ht="12">
      <c r="A146" s="25" t="s">
        <v>71</v>
      </c>
      <c r="B146" s="25" t="s">
        <v>85</v>
      </c>
      <c r="C146" s="25" t="s">
        <v>159</v>
      </c>
      <c r="D146" s="213" t="s">
        <v>252</v>
      </c>
      <c r="E146" s="214"/>
      <c r="F146" s="25" t="s">
        <v>272</v>
      </c>
      <c r="G146" s="26">
        <v>101.38</v>
      </c>
      <c r="H146" s="27" t="s">
        <v>385</v>
      </c>
    </row>
    <row r="147" spans="1:7" ht="12">
      <c r="A147" s="25"/>
      <c r="B147" s="25"/>
      <c r="C147" s="25"/>
      <c r="D147" s="213" t="s">
        <v>376</v>
      </c>
      <c r="E147" s="214"/>
      <c r="F147" s="25"/>
      <c r="G147" s="26">
        <v>128.88</v>
      </c>
    </row>
    <row r="148" spans="1:7" ht="12">
      <c r="A148" s="25"/>
      <c r="B148" s="25"/>
      <c r="C148" s="25"/>
      <c r="D148" s="213" t="s">
        <v>377</v>
      </c>
      <c r="E148" s="214"/>
      <c r="F148" s="25"/>
      <c r="G148" s="26">
        <v>57.69</v>
      </c>
    </row>
    <row r="149" spans="1:7" ht="12">
      <c r="A149" s="25"/>
      <c r="B149" s="25"/>
      <c r="C149" s="25"/>
      <c r="D149" s="213" t="s">
        <v>378</v>
      </c>
      <c r="E149" s="214"/>
      <c r="F149" s="25"/>
      <c r="G149" s="26">
        <v>-25.15</v>
      </c>
    </row>
    <row r="150" spans="1:7" ht="12">
      <c r="A150" s="25"/>
      <c r="B150" s="25"/>
      <c r="C150" s="25"/>
      <c r="D150" s="213" t="s">
        <v>379</v>
      </c>
      <c r="E150" s="214"/>
      <c r="F150" s="25"/>
      <c r="G150" s="26">
        <v>-60.04</v>
      </c>
    </row>
    <row r="151" spans="1:8" ht="12">
      <c r="A151" s="25" t="s">
        <v>72</v>
      </c>
      <c r="B151" s="25" t="s">
        <v>85</v>
      </c>
      <c r="C151" s="25" t="s">
        <v>161</v>
      </c>
      <c r="D151" s="213" t="s">
        <v>254</v>
      </c>
      <c r="E151" s="214"/>
      <c r="F151" s="25" t="s">
        <v>276</v>
      </c>
      <c r="G151" s="26">
        <v>8.48</v>
      </c>
      <c r="H151" s="27" t="s">
        <v>385</v>
      </c>
    </row>
    <row r="152" spans="1:8" ht="12">
      <c r="A152" s="25"/>
      <c r="B152" s="25"/>
      <c r="C152" s="25"/>
      <c r="D152" s="213" t="s">
        <v>380</v>
      </c>
      <c r="E152" s="214"/>
      <c r="F152" s="25"/>
      <c r="G152" s="26">
        <v>8.48</v>
      </c>
      <c r="H152" s="27"/>
    </row>
    <row r="153" spans="1:8" ht="12">
      <c r="A153" s="25" t="s">
        <v>73</v>
      </c>
      <c r="B153" s="25" t="s">
        <v>85</v>
      </c>
      <c r="C153" s="25" t="s">
        <v>163</v>
      </c>
      <c r="D153" s="213" t="s">
        <v>256</v>
      </c>
      <c r="E153" s="214"/>
      <c r="F153" s="25" t="s">
        <v>276</v>
      </c>
      <c r="G153" s="26">
        <v>7.34</v>
      </c>
      <c r="H153" s="27" t="s">
        <v>385</v>
      </c>
    </row>
    <row r="154" spans="1:8" ht="12">
      <c r="A154" s="25"/>
      <c r="B154" s="25"/>
      <c r="C154" s="25"/>
      <c r="D154" s="213" t="s">
        <v>381</v>
      </c>
      <c r="E154" s="214"/>
      <c r="F154" s="25"/>
      <c r="G154" s="26">
        <v>7.34</v>
      </c>
      <c r="H154" s="27"/>
    </row>
    <row r="155" spans="1:8" ht="12">
      <c r="A155" s="25" t="s">
        <v>74</v>
      </c>
      <c r="B155" s="25" t="s">
        <v>85</v>
      </c>
      <c r="C155" s="25" t="s">
        <v>164</v>
      </c>
      <c r="D155" s="213" t="s">
        <v>257</v>
      </c>
      <c r="E155" s="214"/>
      <c r="F155" s="25" t="s">
        <v>276</v>
      </c>
      <c r="G155" s="26">
        <v>22.02</v>
      </c>
      <c r="H155" s="27" t="s">
        <v>385</v>
      </c>
    </row>
    <row r="156" spans="1:8" ht="12">
      <c r="A156" s="25"/>
      <c r="B156" s="25"/>
      <c r="C156" s="25"/>
      <c r="D156" s="213" t="s">
        <v>382</v>
      </c>
      <c r="E156" s="214"/>
      <c r="F156" s="25"/>
      <c r="G156" s="26">
        <v>22.02</v>
      </c>
      <c r="H156" s="27"/>
    </row>
    <row r="157" spans="1:8" ht="12">
      <c r="A157" s="25" t="s">
        <v>75</v>
      </c>
      <c r="B157" s="25" t="s">
        <v>85</v>
      </c>
      <c r="C157" s="25" t="s">
        <v>165</v>
      </c>
      <c r="D157" s="213" t="s">
        <v>258</v>
      </c>
      <c r="E157" s="214"/>
      <c r="F157" s="25" t="s">
        <v>276</v>
      </c>
      <c r="G157" s="26">
        <v>7.34</v>
      </c>
      <c r="H157" s="27" t="s">
        <v>385</v>
      </c>
    </row>
    <row r="158" spans="1:8" ht="12">
      <c r="A158" s="25"/>
      <c r="B158" s="25"/>
      <c r="C158" s="25"/>
      <c r="D158" s="213" t="s">
        <v>381</v>
      </c>
      <c r="E158" s="214"/>
      <c r="F158" s="25"/>
      <c r="G158" s="26">
        <v>7.34</v>
      </c>
      <c r="H158" s="27"/>
    </row>
    <row r="159" spans="1:8" ht="12">
      <c r="A159" s="25" t="s">
        <v>76</v>
      </c>
      <c r="B159" s="25" t="s">
        <v>85</v>
      </c>
      <c r="C159" s="25" t="s">
        <v>166</v>
      </c>
      <c r="D159" s="213" t="s">
        <v>259</v>
      </c>
      <c r="E159" s="214"/>
      <c r="F159" s="25" t="s">
        <v>276</v>
      </c>
      <c r="G159" s="26">
        <v>14.68</v>
      </c>
      <c r="H159" s="27" t="s">
        <v>385</v>
      </c>
    </row>
    <row r="160" spans="1:8" ht="12">
      <c r="A160" s="25"/>
      <c r="B160" s="25"/>
      <c r="C160" s="25"/>
      <c r="D160" s="213" t="s">
        <v>383</v>
      </c>
      <c r="E160" s="214"/>
      <c r="F160" s="25"/>
      <c r="G160" s="26">
        <v>14.68</v>
      </c>
      <c r="H160" s="27"/>
    </row>
    <row r="161" spans="1:8" ht="12">
      <c r="A161" s="25" t="s">
        <v>77</v>
      </c>
      <c r="B161" s="25" t="s">
        <v>85</v>
      </c>
      <c r="C161" s="25" t="s">
        <v>167</v>
      </c>
      <c r="D161" s="213" t="s">
        <v>260</v>
      </c>
      <c r="E161" s="214"/>
      <c r="F161" s="25" t="s">
        <v>276</v>
      </c>
      <c r="G161" s="26">
        <v>7.34</v>
      </c>
      <c r="H161" s="27" t="s">
        <v>385</v>
      </c>
    </row>
    <row r="162" spans="1:7" ht="12">
      <c r="A162" s="25"/>
      <c r="B162" s="25"/>
      <c r="C162" s="25"/>
      <c r="D162" s="213" t="s">
        <v>381</v>
      </c>
      <c r="E162" s="214"/>
      <c r="F162" s="25"/>
      <c r="G162" s="26">
        <v>7.34</v>
      </c>
    </row>
    <row r="163" spans="1:8" ht="12">
      <c r="A163" s="25" t="s">
        <v>78</v>
      </c>
      <c r="B163" s="25" t="s">
        <v>86</v>
      </c>
      <c r="C163" s="25" t="s">
        <v>169</v>
      </c>
      <c r="D163" s="213" t="s">
        <v>263</v>
      </c>
      <c r="E163" s="214"/>
      <c r="F163" s="25" t="s">
        <v>279</v>
      </c>
      <c r="G163" s="26">
        <v>1</v>
      </c>
      <c r="H163" s="27"/>
    </row>
    <row r="164" spans="1:7" ht="12">
      <c r="A164" s="25"/>
      <c r="B164" s="25"/>
      <c r="C164" s="25"/>
      <c r="D164" s="213" t="s">
        <v>7</v>
      </c>
      <c r="E164" s="214"/>
      <c r="F164" s="25"/>
      <c r="G164" s="26">
        <v>1</v>
      </c>
    </row>
    <row r="165" spans="1:8" ht="12">
      <c r="A165" s="34" t="s">
        <v>79</v>
      </c>
      <c r="B165" s="34" t="s">
        <v>86</v>
      </c>
      <c r="C165" s="34" t="s">
        <v>170</v>
      </c>
      <c r="D165" s="215" t="s">
        <v>265</v>
      </c>
      <c r="E165" s="216"/>
      <c r="F165" s="34" t="s">
        <v>280</v>
      </c>
      <c r="G165" s="35">
        <v>1</v>
      </c>
      <c r="H165" s="36"/>
    </row>
    <row r="166" spans="1:7" ht="12">
      <c r="A166" s="34"/>
      <c r="B166" s="34"/>
      <c r="C166" s="34"/>
      <c r="D166" s="215" t="s">
        <v>7</v>
      </c>
      <c r="E166" s="216"/>
      <c r="F166" s="34"/>
      <c r="G166" s="35">
        <v>1</v>
      </c>
    </row>
    <row r="167" spans="1:8" ht="12">
      <c r="A167" s="25" t="s">
        <v>80</v>
      </c>
      <c r="B167" s="25"/>
      <c r="C167" s="25" t="s">
        <v>90</v>
      </c>
      <c r="D167" s="213" t="s">
        <v>179</v>
      </c>
      <c r="E167" s="214"/>
      <c r="F167" s="25" t="s">
        <v>271</v>
      </c>
      <c r="G167" s="26">
        <v>6</v>
      </c>
      <c r="H167" s="27"/>
    </row>
    <row r="168" spans="1:7" ht="12">
      <c r="A168" s="25"/>
      <c r="B168" s="25"/>
      <c r="C168" s="25"/>
      <c r="D168" s="213" t="s">
        <v>12</v>
      </c>
      <c r="E168" s="214"/>
      <c r="F168" s="25"/>
      <c r="G168" s="26">
        <v>6</v>
      </c>
    </row>
    <row r="169" spans="1:8" ht="12">
      <c r="A169" s="25" t="s">
        <v>81</v>
      </c>
      <c r="B169" s="25"/>
      <c r="C169" s="25" t="s">
        <v>90</v>
      </c>
      <c r="D169" s="213" t="s">
        <v>179</v>
      </c>
      <c r="E169" s="214"/>
      <c r="F169" s="25" t="s">
        <v>271</v>
      </c>
      <c r="G169" s="26">
        <v>6</v>
      </c>
      <c r="H169" s="27"/>
    </row>
    <row r="170" spans="1:7" ht="12">
      <c r="A170" s="25"/>
      <c r="B170" s="25"/>
      <c r="C170" s="25"/>
      <c r="D170" s="213" t="s">
        <v>12</v>
      </c>
      <c r="E170" s="214"/>
      <c r="F170" s="25"/>
      <c r="G170" s="26">
        <v>6</v>
      </c>
    </row>
    <row r="172" ht="11.25" customHeight="1">
      <c r="A172" s="3" t="s">
        <v>82</v>
      </c>
    </row>
    <row r="173" spans="1:7" ht="409.5" customHeight="1" hidden="1">
      <c r="A173" s="190"/>
      <c r="B173" s="178"/>
      <c r="C173" s="178"/>
      <c r="D173" s="178"/>
      <c r="E173" s="178"/>
      <c r="F173" s="178"/>
      <c r="G173" s="178"/>
    </row>
  </sheetData>
  <sheetProtection/>
  <mergeCells count="179">
    <mergeCell ref="D170:E170"/>
    <mergeCell ref="A173:G173"/>
    <mergeCell ref="D166:E166"/>
    <mergeCell ref="D167:E167"/>
    <mergeCell ref="D168:E168"/>
    <mergeCell ref="D169:E169"/>
    <mergeCell ref="D162:E162"/>
    <mergeCell ref="D163:E163"/>
    <mergeCell ref="D164:E164"/>
    <mergeCell ref="D165:E165"/>
    <mergeCell ref="D158:E158"/>
    <mergeCell ref="D159:E159"/>
    <mergeCell ref="D160:E160"/>
    <mergeCell ref="D161:E161"/>
    <mergeCell ref="D154:E154"/>
    <mergeCell ref="D155:E155"/>
    <mergeCell ref="D156:E156"/>
    <mergeCell ref="D157:E157"/>
    <mergeCell ref="D150:E150"/>
    <mergeCell ref="D151:E151"/>
    <mergeCell ref="D152:E152"/>
    <mergeCell ref="D153:E153"/>
    <mergeCell ref="D146:E146"/>
    <mergeCell ref="D147:E147"/>
    <mergeCell ref="D148:E148"/>
    <mergeCell ref="D149:E149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22:E122"/>
    <mergeCell ref="D123:E123"/>
    <mergeCell ref="D124:E124"/>
    <mergeCell ref="D125:E125"/>
    <mergeCell ref="D118:E118"/>
    <mergeCell ref="D119:E119"/>
    <mergeCell ref="D120:E120"/>
    <mergeCell ref="D121:E121"/>
    <mergeCell ref="D114:E114"/>
    <mergeCell ref="D115:E115"/>
    <mergeCell ref="D116:E116"/>
    <mergeCell ref="D117:E117"/>
    <mergeCell ref="D110:E110"/>
    <mergeCell ref="D111:E111"/>
    <mergeCell ref="D112:E112"/>
    <mergeCell ref="D113:E113"/>
    <mergeCell ref="D106:E106"/>
    <mergeCell ref="D107:E107"/>
    <mergeCell ref="D108:E108"/>
    <mergeCell ref="D109:E109"/>
    <mergeCell ref="D102:E102"/>
    <mergeCell ref="D103:E103"/>
    <mergeCell ref="D104:E104"/>
    <mergeCell ref="D105:E105"/>
    <mergeCell ref="D98:E98"/>
    <mergeCell ref="D99:E99"/>
    <mergeCell ref="D100:E100"/>
    <mergeCell ref="D101:E101"/>
    <mergeCell ref="D94:E94"/>
    <mergeCell ref="D95:E95"/>
    <mergeCell ref="D96:E96"/>
    <mergeCell ref="D97:E97"/>
    <mergeCell ref="D90:E90"/>
    <mergeCell ref="D91:E91"/>
    <mergeCell ref="D92:E92"/>
    <mergeCell ref="D93:E93"/>
    <mergeCell ref="D86:E86"/>
    <mergeCell ref="D87:E87"/>
    <mergeCell ref="D88:E88"/>
    <mergeCell ref="D89:E89"/>
    <mergeCell ref="D82:E82"/>
    <mergeCell ref="D83:E83"/>
    <mergeCell ref="D84:E84"/>
    <mergeCell ref="D85:E85"/>
    <mergeCell ref="D78:E78"/>
    <mergeCell ref="D79:E79"/>
    <mergeCell ref="D80:E80"/>
    <mergeCell ref="D81:E81"/>
    <mergeCell ref="D74:E74"/>
    <mergeCell ref="D75:E75"/>
    <mergeCell ref="D76:E76"/>
    <mergeCell ref="D77:E77"/>
    <mergeCell ref="D70:E70"/>
    <mergeCell ref="D71:E71"/>
    <mergeCell ref="D72:E72"/>
    <mergeCell ref="D73:E73"/>
    <mergeCell ref="D66:E66"/>
    <mergeCell ref="D67:E67"/>
    <mergeCell ref="D68:E68"/>
    <mergeCell ref="D69:E69"/>
    <mergeCell ref="D62:E62"/>
    <mergeCell ref="D63:E63"/>
    <mergeCell ref="D64:E64"/>
    <mergeCell ref="D65:E65"/>
    <mergeCell ref="D58:E58"/>
    <mergeCell ref="D59:E59"/>
    <mergeCell ref="D60:E60"/>
    <mergeCell ref="D61:E61"/>
    <mergeCell ref="D54:E54"/>
    <mergeCell ref="D55:E55"/>
    <mergeCell ref="D56:E56"/>
    <mergeCell ref="D57:E57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A8:B9"/>
    <mergeCell ref="C8:D9"/>
    <mergeCell ref="E8:E9"/>
    <mergeCell ref="F8:H9"/>
    <mergeCell ref="A6:B7"/>
    <mergeCell ref="C6:D7"/>
    <mergeCell ref="E6:E7"/>
    <mergeCell ref="F6:H7"/>
    <mergeCell ref="A4:B5"/>
    <mergeCell ref="C4:D5"/>
    <mergeCell ref="E4:E5"/>
    <mergeCell ref="A1:H1"/>
    <mergeCell ref="A2:B3"/>
    <mergeCell ref="C2:D3"/>
    <mergeCell ref="E2:E3"/>
    <mergeCell ref="F2:H3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5" sqref="G4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Bazalka Ing. Karel</dc:creator>
  <cp:keywords/>
  <dc:description/>
  <cp:lastModifiedBy>Nováková Petra Ing.</cp:lastModifiedBy>
  <cp:lastPrinted>2018-01-30T09:36:05Z</cp:lastPrinted>
  <dcterms:created xsi:type="dcterms:W3CDTF">2017-11-29T16:07:14Z</dcterms:created>
  <dcterms:modified xsi:type="dcterms:W3CDTF">2018-01-30T09:42:12Z</dcterms:modified>
  <cp:category/>
  <cp:version/>
  <cp:contentType/>
  <cp:contentStatus/>
</cp:coreProperties>
</file>