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5"/>
  </bookViews>
  <sheets>
    <sheet name="Krycí list rozpočtu" sheetId="1" r:id="rId1"/>
    <sheet name="VORN" sheetId="2" r:id="rId2"/>
    <sheet name="Stavební rozpočet" sheetId="3" r:id="rId3"/>
    <sheet name="Silno" sheetId="4" r:id="rId4"/>
    <sheet name="Slabo" sheetId="5" r:id="rId5"/>
    <sheet name="List1" sheetId="6" r:id="rId6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<sst xmlns="http://schemas.openxmlformats.org/spreadsheetml/2006/main" count="4395" uniqueCount="1767">
  <si>
    <t>Výroba a montáž kov. atypických konstr. do 500 kg  Z18</t>
  </si>
  <si>
    <t>63*0,24*19,62</t>
  </si>
  <si>
    <t>Plech hladký jakost 11321.21  2,50x1000x2000 mm</t>
  </si>
  <si>
    <t>63*0,24*0,01962</t>
  </si>
  <si>
    <t>;ztratné 8%; 0,02376</t>
  </si>
  <si>
    <t>Výroba a montáž kov. atypických konstr. do 5 kg</t>
  </si>
  <si>
    <t>(0,3*4+1,5)*0,58*2   Z09</t>
  </si>
  <si>
    <t>Profil L rovnoramenný 11375  20x20x2 mm</t>
  </si>
  <si>
    <t>(0,3*4+1,5)*0,00058*2</t>
  </si>
  <si>
    <t>;ztratné 8%; 0,00024</t>
  </si>
  <si>
    <t>Žiletkový drát - balení spirála, rozvinutí spirály: 450mm na 7,5m</t>
  </si>
  <si>
    <t>3*1,45</t>
  </si>
  <si>
    <t>Kotvy, úhelníky, atyp. prvky</t>
  </si>
  <si>
    <t>4*1</t>
  </si>
  <si>
    <t>Přesun hmot pro zámečnické konstr., výšky do 12 m</t>
  </si>
  <si>
    <t>Podlahy z dlaždic</t>
  </si>
  <si>
    <t>Dlažba z dlaždic keramických 30 x 30 cm</t>
  </si>
  <si>
    <t>4,6   KD2</t>
  </si>
  <si>
    <t>Vyrovnání podk.samoniv.hmotou</t>
  </si>
  <si>
    <t>35,3+19,5+19,6+2,74   P2</t>
  </si>
  <si>
    <t>Lišta hliníková přechodová, různá výška dlaždic</t>
  </si>
  <si>
    <t>0,9*3+0,8+1,2+0,7   E6</t>
  </si>
  <si>
    <t>Obklad soklíků keram.rovných, tmel,výška 10 cm</t>
  </si>
  <si>
    <t>(19,85+11,35)*2</t>
  </si>
  <si>
    <t>Dlažba keramická dle výběru investora</t>
  </si>
  <si>
    <t>62,4*0,08</t>
  </si>
  <si>
    <t>;ztratné 20%; 0,9984</t>
  </si>
  <si>
    <t>Přesun hmot pro podlahy z dlaždic, výšky do 12 m</t>
  </si>
  <si>
    <t>Podlahy povlakové</t>
  </si>
  <si>
    <t>Lepení povlak.podlah, dílce PVC a vinyl,  včetně dílců</t>
  </si>
  <si>
    <t>Lepení podlahových soklíků z PVC a vinylu včetně dodávky soklíku</t>
  </si>
  <si>
    <t>25,7+20,4+19,4+5,8   P2</t>
  </si>
  <si>
    <t>Přesun hmot pro podlahy povlakové, výšky do 12 m</t>
  </si>
  <si>
    <t>Obklady (keramické)</t>
  </si>
  <si>
    <t>Obklad vnitřní keramický 20 x 20 cm</t>
  </si>
  <si>
    <t>(20,1+5,9+5,1)*2,4+1,2*1,84-(0,7*1,97*4+0,9*1,97*2)   1.NP</t>
  </si>
  <si>
    <t>(6,4+4,6)*1,6-0,7*1,97*3+(3,4+1,7)*0,6   2.NP</t>
  </si>
  <si>
    <t>1,2*1,6   2.NP stará omítka</t>
  </si>
  <si>
    <t>Montáž lišt k obkladům včetně dodávky  lišt rohových, koutových i ukončovacích</t>
  </si>
  <si>
    <t>(20,1+5,9+5,1)*2+1,2+2,4*24   1.NP</t>
  </si>
  <si>
    <t>(6,4+4,6)*2+1,6*8   2.NP</t>
  </si>
  <si>
    <t>Přesun hmot pro obklady keramické, výšky do 12 m</t>
  </si>
  <si>
    <t>Nátěry</t>
  </si>
  <si>
    <t>Odstranění nátěrů z omítek stěn, oškrabáním</t>
  </si>
  <si>
    <t>27,6*(2,49+2,5)+11,35*2-(1,6*1,97+1,065*2,02+1,55*2,02+0,9*1,97)</t>
  </si>
  <si>
    <t>Oprava nátěrů kovových konstrukcí syntet. lakem oškrábání, odrezivění, 1x krycí + 1x email DU5</t>
  </si>
  <si>
    <t>(0,063*6*8,8+0,07*6*11,755+0,05*6*(15+1,2*4))*8   L63, L70</t>
  </si>
  <si>
    <t>(3,75*4*6+4,8*6)*0,063*6   L50</t>
  </si>
  <si>
    <t>(5*4+10*2)*29*8   I120</t>
  </si>
  <si>
    <t>Nátěr syntet. klempířských konstrukcí, Z + 2 x</t>
  </si>
  <si>
    <t>26,2*0,5+28,5*0,33*2+28,5*0,33+9,1*0,5+12,9*0,6+12,7*0,5+20,85*0,25+5,5*0,25+(2*pi*0,05*(0,05+13,7))</t>
  </si>
  <si>
    <t>Nátěr impregnační betonových podlah</t>
  </si>
  <si>
    <t>Malby</t>
  </si>
  <si>
    <t>Malba disperzní, penetrace 1x, malba bílá 2x</t>
  </si>
  <si>
    <t>51,15+57+302,5+59,9+23,3+332,282+55,2</t>
  </si>
  <si>
    <t>Zasklívání</t>
  </si>
  <si>
    <t>Zaskl.střech,pod/zatmel.válcov.s drát vlož. 6-8 mm</t>
  </si>
  <si>
    <t>1*1,67+1*2,79   Z14</t>
  </si>
  <si>
    <t>Přesun hmot pro zasklívání, výšky do 12 m</t>
  </si>
  <si>
    <t>Ostatní konstrukce a práce na trubním vedení</t>
  </si>
  <si>
    <t>Šachtice zděná z cihel, do 2,50 m3 obest. prostoru</t>
  </si>
  <si>
    <t>Šachtice.domovní.kanalizač.z cihel pál.,1,3 m3</t>
  </si>
  <si>
    <t>(1,3+0,8)*2*0,15*0,965</t>
  </si>
  <si>
    <t>vnitřní vyzdívka šachtice</t>
  </si>
  <si>
    <t>Doplňující konstrukce a práce na pozemních komunikacích a zpevněných plochách</t>
  </si>
  <si>
    <t>Osazení stojat. obrub.bet. s opěrou,lože z C 12/15 včetně obrubníku ABO 100/10/25</t>
  </si>
  <si>
    <t>1,5*4+4,155   TU2</t>
  </si>
  <si>
    <t>Lešení a stavební výtahy</t>
  </si>
  <si>
    <t>Lešení lehké fasádní, š. 1 m, výška do 10 m montáž, demontáž, doprava, pronájem 2 měsíce</t>
  </si>
  <si>
    <t>191+27,65+3,32*(4,5+4,4)+2,6*19,5</t>
  </si>
  <si>
    <t>Lešení lehké pomocné, výška podlahy do 1,9 m</t>
  </si>
  <si>
    <t>51,15+57+59,9+23,3</t>
  </si>
  <si>
    <t>Montáž lešení prostorové lehké, do 200kg, H 10 m</t>
  </si>
  <si>
    <t>302,5*5,4   lešení pro SDK v dílně</t>
  </si>
  <si>
    <t>Příplatek za každý měsíc použití k pol..3221, 3222</t>
  </si>
  <si>
    <t>1633,5*2</t>
  </si>
  <si>
    <t>Demontáž lešení, prostor. lehké, 200 kPa, H 10 m</t>
  </si>
  <si>
    <t>1633,5</t>
  </si>
  <si>
    <t>Různé dokončovací konstrukce a práce na pozemních stavbách</t>
  </si>
  <si>
    <t>Osazování mříží v rámu nebo z jednotlivých tyčí</t>
  </si>
  <si>
    <t>11*8   8 kotev</t>
  </si>
  <si>
    <t>Mříž ocelová okenní pevná</t>
  </si>
  <si>
    <t>2,16*1,36*11   Z01</t>
  </si>
  <si>
    <t>Osazování poklopů litinových, ocelových do 100 kg</t>
  </si>
  <si>
    <t>Poklop pro zadláždění 609, 600x900x95 mm</t>
  </si>
  <si>
    <t>2   Z11, Z12</t>
  </si>
  <si>
    <t>Plechy nárožní ochranné hliníkové 1 x 80 x 1500 mm</t>
  </si>
  <si>
    <t>6   Z13</t>
  </si>
  <si>
    <t>Vyčištění průmyslových budov a objektů výrobních</t>
  </si>
  <si>
    <t>11,2*27,6</t>
  </si>
  <si>
    <t>Zakrývání zařízení investora, denní úklid na komunikačních trasách</t>
  </si>
  <si>
    <t>například ochrana stávajícího potrubí apod.</t>
  </si>
  <si>
    <t>Přesun hmot pro opravy a údržbu do výšky 12 m</t>
  </si>
  <si>
    <t>Bourání konstrukcí</t>
  </si>
  <si>
    <t>Bourání mazanin betonových tl. nad 10 cm, nad 4 m2 sbíječka  tl. mazaniny 15 - 20 cm</t>
  </si>
  <si>
    <t>4,046*1,97*0,2-1,46*1,25*0,2   po násypce</t>
  </si>
  <si>
    <t>Odstranění násypu tl. do 20 cm, plocha nad 2 m2</t>
  </si>
  <si>
    <t>4,046*1,97*0,15-1,46*1,25*0,15   po násypce</t>
  </si>
  <si>
    <t>Bourání mazanin betonových tl. 10 cm, nad 4 m2 sbíječka tl. mazaniny 8 - 10 cm</t>
  </si>
  <si>
    <t>11,2*27,6*0,09   stáv.podlaha</t>
  </si>
  <si>
    <t>Bourání pilířů z železobetonu</t>
  </si>
  <si>
    <t>0,66*0,36*4,75*2   pilíře násypky</t>
  </si>
  <si>
    <t>Bourání zdiva z cihel pálených na MVC</t>
  </si>
  <si>
    <t>0,49*0,6*0,55</t>
  </si>
  <si>
    <t>Vybourání otv. zeď cihel. pl.4 m2, tl.60 cm, MVC</t>
  </si>
  <si>
    <t>(2,37*1,74*2+2,64*1,12-0,48*0,48+2,37*1,47*2+2,52*2,715-1,54*2,02+1,12*2,64+2,37*1,47)*0,45   jih</t>
  </si>
  <si>
    <t>Vysekání kapes zeď cihel. MVC, pl. 0,1m2, hl. 30cm</t>
  </si>
  <si>
    <t>Vysekání rýh zeď cihelná vtah. nosníků 15 x 25 cm</t>
  </si>
  <si>
    <t>2,6*4</t>
  </si>
  <si>
    <t>Obroušení omítek do výšky 3,8 m DU3</t>
  </si>
  <si>
    <t>(27,6*2+11,35*2)*6,1-(1,6*1,97+1,065*2,02+1,55*2,02+0,9*1,97+2,37*2,96*5)</t>
  </si>
  <si>
    <t>-27,6*2;DU4</t>
  </si>
  <si>
    <t>Příplatek, místnost výšky nad 3,8 m</t>
  </si>
  <si>
    <t>374,707   DU3</t>
  </si>
  <si>
    <t>Otlučení omítek vnitřních stěn v rozsahu do 100 %</t>
  </si>
  <si>
    <t>Vyvěšení, zavěšení kovových křídel oken pl. 1,5 m2</t>
  </si>
  <si>
    <t>Vyvěšení, zavěšení kovových křídel dveří pl. 2 m2</t>
  </si>
  <si>
    <t>Vybourání kovových rámů oken jednod. nad 4 m2</t>
  </si>
  <si>
    <t>2,37*2,96*6</t>
  </si>
  <si>
    <t>Vybourání kovových dveřních zárubní pl. do 2 m2</t>
  </si>
  <si>
    <t>0,9*1,97</t>
  </si>
  <si>
    <t>Vybourání kovových dveřních zárubní pl. nad 2 m2</t>
  </si>
  <si>
    <t>1,6*1,97</t>
  </si>
  <si>
    <t>Vytrhání obrub obrubníků silničních</t>
  </si>
  <si>
    <t>Vnitrostaveništní doprava suti do 10 m</t>
  </si>
  <si>
    <t>Příplatek k vnitrost. dopravě suti za dalších 5 m</t>
  </si>
  <si>
    <t>Kontejner, suť bez příměsí, odvoz a likvidace,12 t</t>
  </si>
  <si>
    <t>Demolice</t>
  </si>
  <si>
    <t>Demolice konstrukcí jiným způsobem, železobeton</t>
  </si>
  <si>
    <t>2,509+0,3+1,8+0,3+2,04</t>
  </si>
  <si>
    <t>(11,3+16,6+11+20,1+5,9+5,1+5,2+5)*2,4+1,2*1,84*2+157*2-(0,9*1,97*6+0,8*1,97*2+0,7*1,97*4)   1.NP</t>
  </si>
  <si>
    <t>(5,6+2,45+3,775+5+3,55)*2,65+1,325*1,9-1*2,02*2   1.NP</t>
  </si>
  <si>
    <t>12,5*1,85*3,7+5,8*3,73*4,045-((1,46*1,25+1,265*1,25)*12,5+2,37*3,36*5,8)</t>
  </si>
  <si>
    <t>demolice násypky</t>
  </si>
  <si>
    <t>Elektromontáže</t>
  </si>
  <si>
    <t>Elektromontáže dle samostatné kalkulace</t>
  </si>
  <si>
    <t>Montáže sdělovací a zabezpečovací techniky</t>
  </si>
  <si>
    <t>Montáže sdělovací a zabezpečovací techniky dle samostatné kalkulace</t>
  </si>
  <si>
    <t>Začátek výstavby:</t>
  </si>
  <si>
    <t>Konec výstavby:</t>
  </si>
  <si>
    <t>M.j.</t>
  </si>
  <si>
    <t>m3</t>
  </si>
  <si>
    <t>m2</t>
  </si>
  <si>
    <t>t</t>
  </si>
  <si>
    <t>kus</t>
  </si>
  <si>
    <t>kg</t>
  </si>
  <si>
    <t>m</t>
  </si>
  <si>
    <t>m DVČ</t>
  </si>
  <si>
    <t>soubor</t>
  </si>
  <si>
    <t>ks</t>
  </si>
  <si>
    <t>kpl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</si>
  <si>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</si>
  <si>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</si>
  <si>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</si>
  <si>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</si>
  <si>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</si>
  <si>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</si>
  <si>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</si>
  <si>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</si>
  <si>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</si>
  <si>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</si>
  <si>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</si>
  <si>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Vězeňská služba ČR, Soudní 1672/1a, Nusle, Praha 4</t>
  </si>
  <si>
    <t>Atelier P.H.A., s.r.o., Gabčíkova 15, Praha 8</t>
  </si>
  <si>
    <t>Dle výběru investora</t>
  </si>
  <si>
    <t>František Polan</t>
  </si>
  <si>
    <t>Celkem</t>
  </si>
  <si>
    <t>Hmotnost (t)</t>
  </si>
  <si>
    <t>Cenová</t>
  </si>
  <si>
    <t>soustava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</si>
  <si>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</si>
  <si>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</si>
  <si>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</si>
  <si>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</si>
  <si>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</si>
  <si>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</si>
  <si>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</si>
  <si>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</si>
  <si>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</si>
  <si>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</si>
  <si>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1_</t>
  </si>
  <si>
    <t>27_</t>
  </si>
  <si>
    <t>28_</t>
  </si>
  <si>
    <t>31_</t>
  </si>
  <si>
    <t>34_</t>
  </si>
  <si>
    <t>41_</t>
  </si>
  <si>
    <t>43_</t>
  </si>
  <si>
    <t>56_</t>
  </si>
  <si>
    <t>57_</t>
  </si>
  <si>
    <t>59_</t>
  </si>
  <si>
    <t>61_</t>
  </si>
  <si>
    <t>62_</t>
  </si>
  <si>
    <t>63_</t>
  </si>
  <si>
    <t>64_</t>
  </si>
  <si>
    <t>711_</t>
  </si>
  <si>
    <t>712_</t>
  </si>
  <si>
    <t>713_</t>
  </si>
  <si>
    <t>721_</t>
  </si>
  <si>
    <t>722_</t>
  </si>
  <si>
    <t>732_</t>
  </si>
  <si>
    <t>733_</t>
  </si>
  <si>
    <t>734_</t>
  </si>
  <si>
    <t>735_</t>
  </si>
  <si>
    <t>763_</t>
  </si>
  <si>
    <t>764_</t>
  </si>
  <si>
    <t>766_</t>
  </si>
  <si>
    <t>767_</t>
  </si>
  <si>
    <t>771_</t>
  </si>
  <si>
    <t>776_</t>
  </si>
  <si>
    <t>781_</t>
  </si>
  <si>
    <t>783_</t>
  </si>
  <si>
    <t>784_</t>
  </si>
  <si>
    <t>787_</t>
  </si>
  <si>
    <t>89_</t>
  </si>
  <si>
    <t>91_</t>
  </si>
  <si>
    <t>94_</t>
  </si>
  <si>
    <t>95_</t>
  </si>
  <si>
    <t>96_</t>
  </si>
  <si>
    <t>98_</t>
  </si>
  <si>
    <t>M21_</t>
  </si>
  <si>
    <t>M22_</t>
  </si>
  <si>
    <t>2_</t>
  </si>
  <si>
    <t>3_</t>
  </si>
  <si>
    <t>4_</t>
  </si>
  <si>
    <t>5_</t>
  </si>
  <si>
    <t>6_</t>
  </si>
  <si>
    <t>71_</t>
  </si>
  <si>
    <t>72_</t>
  </si>
  <si>
    <t>73_</t>
  </si>
  <si>
    <t>76_</t>
  </si>
  <si>
    <t>77_</t>
  </si>
  <si>
    <t>78_</t>
  </si>
  <si>
    <t>8_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</si>
  <si>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</si>
  <si>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</si>
  <si>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</si>
  <si>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</si>
  <si>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</si>
  <si>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</si>
  <si>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</si>
  <si>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</si>
  <si>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</si>
  <si>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</si>
  <si>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</si>
  <si>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</si>
  <si>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</si>
  <si>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</si>
  <si>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</si>
  <si>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</si>
  <si>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</si>
  <si>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</si>
  <si>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</si>
  <si>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</si>
  <si>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</si>
  <si>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</si>
  <si>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</si>
  <si>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</si>
  <si>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</si>
  <si>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</si>
  <si>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</si>
  <si>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</si>
  <si>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</si>
  <si>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</si>
  <si>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</si>
  <si>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</si>
  <si>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</si>
  <si>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</si>
  <si>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</si>
  <si>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</si>
  <si>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</si>
  <si>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</si>
  <si>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</si>
  <si>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</si>
  <si>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</si>
  <si>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</si>
  <si>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</si>
  <si>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</si>
  <si>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</si>
  <si>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</si>
  <si>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</si>
  <si>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</si>
  <si>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</si>
  <si>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</si>
  <si>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</si>
  <si>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</si>
  <si>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</si>
  <si>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</si>
  <si>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</si>
  <si>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</si>
  <si>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</si>
  <si>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VINAŘICE DÍLNA</t>
  </si>
  <si>
    <t xml:space="preserve">Elektro slaboproud </t>
  </si>
  <si>
    <t>kabely, vodiče</t>
  </si>
  <si>
    <t>specifikace</t>
  </si>
  <si>
    <t xml:space="preserve">m.j.     </t>
  </si>
  <si>
    <t xml:space="preserve"> množ.</t>
  </si>
  <si>
    <t>jedn.mont.</t>
  </si>
  <si>
    <t xml:space="preserve">     jedn.mat.</t>
  </si>
  <si>
    <t xml:space="preserve">   celkem  montáž</t>
  </si>
  <si>
    <t xml:space="preserve">       celkem  materiál</t>
  </si>
  <si>
    <t xml:space="preserve">       celkem  položka</t>
  </si>
  <si>
    <t>v trubkách</t>
  </si>
  <si>
    <t>kabel telef.venkovní</t>
  </si>
  <si>
    <t xml:space="preserve">  m      </t>
  </si>
  <si>
    <t>datový kabel</t>
  </si>
  <si>
    <t>optický kabel 12 vláken univ.</t>
  </si>
  <si>
    <t xml:space="preserve">  m       </t>
  </si>
  <si>
    <t>SYKFY 2x2x0,5</t>
  </si>
  <si>
    <t xml:space="preserve">  m    </t>
  </si>
  <si>
    <t>UTP cat.5e</t>
  </si>
  <si>
    <t>UTP cat.6a</t>
  </si>
  <si>
    <t>CY 1,5 (J-Y(ST)Y)</t>
  </si>
  <si>
    <t xml:space="preserve">Součet    </t>
  </si>
  <si>
    <t>podružný materiál</t>
  </si>
  <si>
    <t>Celkem kabely a vodiče bez DPH</t>
  </si>
  <si>
    <t>trubky, lišty</t>
  </si>
  <si>
    <t xml:space="preserve">m.j.   </t>
  </si>
  <si>
    <t>trubka PVC pod om. Ohebná</t>
  </si>
  <si>
    <t>přísl.trubek(kolena,ohyby)</t>
  </si>
  <si>
    <t>KOPODUR KD 09050</t>
  </si>
  <si>
    <t>lišta vkládací 20x80</t>
  </si>
  <si>
    <t>Celkem trubky, lišty bez DPH</t>
  </si>
  <si>
    <t>přístroje</t>
  </si>
  <si>
    <t>krabice</t>
  </si>
  <si>
    <t>protahovací KO68</t>
  </si>
  <si>
    <t xml:space="preserve">  ks      </t>
  </si>
  <si>
    <t>hranatá do par.kanálu</t>
  </si>
  <si>
    <t xml:space="preserve">zásuvky </t>
  </si>
  <si>
    <t>slaboproudá bez rám.,2x RJ45</t>
  </si>
  <si>
    <t>tlač.tísňového hlásiče</t>
  </si>
  <si>
    <t>hláska stolní</t>
  </si>
  <si>
    <t>hláska pod omítku,antivandal</t>
  </si>
  <si>
    <t>kamera nást.s přísvitem,antivandal,</t>
  </si>
  <si>
    <t>vnitřní + držák</t>
  </si>
  <si>
    <t>mont.deska do zateplení pro</t>
  </si>
  <si>
    <t>uchycení stáv.venk.kamer</t>
  </si>
  <si>
    <t>Součet</t>
  </si>
  <si>
    <t>Celkem přístroje bez DPH</t>
  </si>
  <si>
    <t>ostatní</t>
  </si>
  <si>
    <t>dat.rozvaděč nást. 600x395, v.370(6U)</t>
  </si>
  <si>
    <t>v. 370 (6U)</t>
  </si>
  <si>
    <t xml:space="preserve"> ks      </t>
  </si>
  <si>
    <t>příslušenství rozvaděče</t>
  </si>
  <si>
    <t>průchodka s kartáčem,napájecí panel,</t>
  </si>
  <si>
    <t>vyvazovací panel,polička,</t>
  </si>
  <si>
    <t>patch panel,6xpatch kabel</t>
  </si>
  <si>
    <t>modem WiFi</t>
  </si>
  <si>
    <t>systém CCTV</t>
  </si>
  <si>
    <t>2x optický převodník,2x optooddělovač,</t>
  </si>
  <si>
    <t>napaječ,kabel.propojky,</t>
  </si>
  <si>
    <t>sběrnice se vstupy pro ovl.</t>
  </si>
  <si>
    <t>poplachových stavů</t>
  </si>
  <si>
    <t>rozšíření videoústředny na OS</t>
  </si>
  <si>
    <t>o kartu se 16ti vstupy</t>
  </si>
  <si>
    <t>EZS</t>
  </si>
  <si>
    <t>koncentrátory pro připoj.TH do sběrnice,</t>
  </si>
  <si>
    <t>komunik.linka do ústř.EZS</t>
  </si>
  <si>
    <t>propojení hlásek kabelem</t>
  </si>
  <si>
    <t>do ústř. EZS,koordinace</t>
  </si>
  <si>
    <t>naprogramování vzájemných vazeb</t>
  </si>
  <si>
    <t>mezi MaR(stáv.) a MaR1(nová TM)</t>
  </si>
  <si>
    <t>Celkem ostatní bez DPH</t>
  </si>
  <si>
    <t>HSV+PSV</t>
  </si>
  <si>
    <t>sekání rýh 3x3 cm</t>
  </si>
  <si>
    <t>dtto 3x10</t>
  </si>
  <si>
    <t>dtto 5x10</t>
  </si>
  <si>
    <t>kapsy pro krabice</t>
  </si>
  <si>
    <t>zahození rýh 3x3 cm</t>
  </si>
  <si>
    <t xml:space="preserve">             dtto 5x5</t>
  </si>
  <si>
    <t xml:space="preserve">             dtto 5x10</t>
  </si>
  <si>
    <t>štukování 3x3 cm</t>
  </si>
  <si>
    <t xml:space="preserve">        dtto 5x5</t>
  </si>
  <si>
    <t xml:space="preserve">        dtto 5x10</t>
  </si>
  <si>
    <t>malování</t>
  </si>
  <si>
    <t>demontáž stávajících rozvodů</t>
  </si>
  <si>
    <t>přesun hmot,doprava</t>
  </si>
  <si>
    <t>Celkem HSV+PSV vč.materiálu bez DPH</t>
  </si>
  <si>
    <t>Součet slaboproud</t>
  </si>
  <si>
    <t>Revize</t>
  </si>
  <si>
    <t xml:space="preserve">      hod.        </t>
  </si>
  <si>
    <t>PPV</t>
  </si>
  <si>
    <t>DPH</t>
  </si>
  <si>
    <r>
      <t xml:space="preserve">KOAX 100 </t>
    </r>
    <r>
      <rPr>
        <sz val="8"/>
        <rFont val="Calibri"/>
        <family val="2"/>
      </rPr>
      <t>Ω</t>
    </r>
  </si>
  <si>
    <r>
      <rPr>
        <sz val="8"/>
        <rFont val="Calibri"/>
        <family val="2"/>
      </rPr>
      <t>ø</t>
    </r>
    <r>
      <rPr>
        <sz val="8"/>
        <rFont val="Arial CE"/>
        <family val="2"/>
      </rPr>
      <t xml:space="preserve"> 16 mm</t>
    </r>
  </si>
  <si>
    <r>
      <rPr>
        <sz val="8"/>
        <rFont val="Calibri"/>
        <family val="2"/>
      </rPr>
      <t>ø</t>
    </r>
    <r>
      <rPr>
        <sz val="8"/>
        <rFont val="Arial CE"/>
        <family val="2"/>
      </rPr>
      <t xml:space="preserve"> 23 mm</t>
    </r>
  </si>
  <si>
    <r>
      <rPr>
        <sz val="8"/>
        <rFont val="Calibri"/>
        <family val="2"/>
      </rPr>
      <t>ø</t>
    </r>
    <r>
      <rPr>
        <sz val="8"/>
        <rFont val="Arial CE"/>
        <family val="2"/>
      </rPr>
      <t xml:space="preserve"> 29 mm</t>
    </r>
  </si>
  <si>
    <r>
      <rPr>
        <sz val="8"/>
        <rFont val="Calibri"/>
        <family val="2"/>
      </rPr>
      <t>ø</t>
    </r>
    <r>
      <rPr>
        <sz val="8"/>
        <rFont val="Arial CE"/>
        <family val="2"/>
      </rPr>
      <t xml:space="preserve"> 36 mm</t>
    </r>
  </si>
  <si>
    <r>
      <t xml:space="preserve">tr.plast.tuhá, </t>
    </r>
    <r>
      <rPr>
        <sz val="8"/>
        <rFont val="Calibri"/>
        <family val="2"/>
      </rPr>
      <t>ø</t>
    </r>
    <r>
      <rPr>
        <sz val="8"/>
        <rFont val="Arial CE"/>
        <family val="2"/>
      </rPr>
      <t xml:space="preserve"> 29 mm, pevně</t>
    </r>
  </si>
  <si>
    <r>
      <t xml:space="preserve">tr.plast.tuhá, </t>
    </r>
    <r>
      <rPr>
        <sz val="8"/>
        <rFont val="Calibri"/>
        <family val="2"/>
      </rPr>
      <t>ø</t>
    </r>
    <r>
      <rPr>
        <sz val="8"/>
        <rFont val="Arial CE"/>
        <family val="2"/>
      </rPr>
      <t xml:space="preserve"> 16 mm,do zatep.</t>
    </r>
  </si>
  <si>
    <r>
      <t xml:space="preserve">  m   </t>
    </r>
    <r>
      <rPr>
        <sz val="8"/>
        <rFont val="Calibri"/>
        <family val="2"/>
      </rPr>
      <t>*</t>
    </r>
  </si>
  <si>
    <r>
      <rPr>
        <sz val="8"/>
        <rFont val="Calibri"/>
        <family val="2"/>
      </rPr>
      <t>*</t>
    </r>
    <r>
      <rPr>
        <sz val="8"/>
        <rFont val="Arial CE"/>
        <family val="2"/>
      </rPr>
      <t xml:space="preserve"> pro vedení stáv.venkovních kamer</t>
    </r>
  </si>
  <si>
    <r>
      <t xml:space="preserve">průrazy </t>
    </r>
    <r>
      <rPr>
        <sz val="8"/>
        <rFont val="Calibri"/>
        <family val="2"/>
      </rPr>
      <t>ø</t>
    </r>
    <r>
      <rPr>
        <sz val="8"/>
        <rFont val="Arial CE"/>
        <family val="2"/>
      </rPr>
      <t xml:space="preserve"> 3cm, do 25cm tl.</t>
    </r>
  </si>
  <si>
    <r>
      <t xml:space="preserve">     dtto </t>
    </r>
    <r>
      <rPr>
        <sz val="8"/>
        <rFont val="Calibri"/>
        <family val="2"/>
      </rPr>
      <t>ø</t>
    </r>
    <r>
      <rPr>
        <sz val="8"/>
        <rFont val="Arial CE"/>
        <family val="2"/>
      </rPr>
      <t xml:space="preserve"> 10cm</t>
    </r>
  </si>
  <si>
    <r>
      <t xml:space="preserve">  m</t>
    </r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    </t>
    </r>
  </si>
  <si>
    <r>
      <t xml:space="preserve">Celkem silnoproud </t>
    </r>
    <r>
      <rPr>
        <sz val="8"/>
        <rFont val="Arial CE"/>
        <family val="2"/>
      </rPr>
      <t>bez DPH</t>
    </r>
  </si>
  <si>
    <t>Elektro silnoproud + hromosvod</t>
  </si>
  <si>
    <t>kabely, zem.vodiče</t>
  </si>
  <si>
    <t>pod omítkou</t>
  </si>
  <si>
    <t>CYKY -O 2x1,5</t>
  </si>
  <si>
    <t>CYKY-O 3x1,5</t>
  </si>
  <si>
    <t>CYKY -J 3 x 1,5</t>
  </si>
  <si>
    <t>CYKY -J 4x1,5</t>
  </si>
  <si>
    <t>CYKY-J 3x2,5</t>
  </si>
  <si>
    <t>CYKY-J 5x2,5</t>
  </si>
  <si>
    <t>CYKY 3x50+35</t>
  </si>
  <si>
    <t>ukončení kabelu v rozvaděči</t>
  </si>
  <si>
    <t>do 3x2,5</t>
  </si>
  <si>
    <t xml:space="preserve">  ks     </t>
  </si>
  <si>
    <t>do 5x2,5</t>
  </si>
  <si>
    <t>do 4x50</t>
  </si>
  <si>
    <t>zapoj.vodičů do 2,5 mm2</t>
  </si>
  <si>
    <t xml:space="preserve">  ks  </t>
  </si>
  <si>
    <t>zemnící vodiče</t>
  </si>
  <si>
    <t>CY 6</t>
  </si>
  <si>
    <t>CY 10</t>
  </si>
  <si>
    <t>CYA 35</t>
  </si>
  <si>
    <t>svorka na potrubí</t>
  </si>
  <si>
    <t>PVC 1525 HA</t>
  </si>
  <si>
    <t>podparapetní kanál s přepážkou + víko</t>
  </si>
  <si>
    <t>70x110 pro ulož.přístr.</t>
  </si>
  <si>
    <t>nosná lišta pro kabely</t>
  </si>
  <si>
    <t>OCEL 20x10 mm</t>
  </si>
  <si>
    <t>podpodlahový kanál</t>
  </si>
  <si>
    <t>PUK 38x150 S1S</t>
  </si>
  <si>
    <t>Celkem trubky bez DPH</t>
  </si>
  <si>
    <t>KP2 přístrojová</t>
  </si>
  <si>
    <t>KP2 přístrojová hluboká</t>
  </si>
  <si>
    <t>KU 68/2-1903 se svork.</t>
  </si>
  <si>
    <t>KR97+víčko+věneček</t>
  </si>
  <si>
    <t xml:space="preserve">KT250E+svork.EPS1 </t>
  </si>
  <si>
    <t>podpodlahová krabice</t>
  </si>
  <si>
    <t>KUP 57 FB, 330x260x57</t>
  </si>
  <si>
    <t>rám KOPOBOX 57 LB</t>
  </si>
  <si>
    <t>víko ocel,pojezd 6t</t>
  </si>
  <si>
    <t xml:space="preserve">vypínače </t>
  </si>
  <si>
    <t>1 pól.kompl.,řazení 1</t>
  </si>
  <si>
    <t xml:space="preserve">  ks       </t>
  </si>
  <si>
    <t>stříd.kompl.,řazení 6</t>
  </si>
  <si>
    <t>křížový,řazení 7</t>
  </si>
  <si>
    <t xml:space="preserve">  ks        </t>
  </si>
  <si>
    <t>sériový,řazení 5</t>
  </si>
  <si>
    <t>stop tlačítko</t>
  </si>
  <si>
    <t>jednoduchá kompl.</t>
  </si>
  <si>
    <t>dvojitá s natočenou dut.</t>
  </si>
  <si>
    <t>jednoduchá bez rámečku</t>
  </si>
  <si>
    <t>přep.ochrana "D" do zás.</t>
  </si>
  <si>
    <t>rámeček 3nás.</t>
  </si>
  <si>
    <t>zapuštěná s víčkem,IP45</t>
  </si>
  <si>
    <t>3f,3+PE+N, IP45 nást.</t>
  </si>
  <si>
    <t>protipožární ucpávka tl.450</t>
  </si>
  <si>
    <t>protipožární ucpávka tl.200</t>
  </si>
  <si>
    <t>vývodky pro kabely P16</t>
  </si>
  <si>
    <t>svítidla</t>
  </si>
  <si>
    <t>zářivkové uzavřené přisazené</t>
  </si>
  <si>
    <t>s krytem,2x36W,4482lm,IP65</t>
  </si>
  <si>
    <t>dtto, 3x36W 3fáz,6863lm,IP65</t>
  </si>
  <si>
    <t>tyčový závěs 2m</t>
  </si>
  <si>
    <t xml:space="preserve">kruhové přisazené,úsp.zář. </t>
  </si>
  <si>
    <t>9W,IP45</t>
  </si>
  <si>
    <t xml:space="preserve"> ks       </t>
  </si>
  <si>
    <t>nouzové s vl.zdrojem,při výpadku</t>
  </si>
  <si>
    <t>LED 8W,3h.,IP65 bez pikt.</t>
  </si>
  <si>
    <t>LED 8W,3h.,IP65 s piktogramem</t>
  </si>
  <si>
    <t>Celkem svítidla bez DPH</t>
  </si>
  <si>
    <t>Rozvaděče</t>
  </si>
  <si>
    <t>edn.mont.</t>
  </si>
  <si>
    <t>R1 - rozv.zapuštěný,plech.dveře</t>
  </si>
  <si>
    <t>635x1260x247</t>
  </si>
  <si>
    <t xml:space="preserve"> ks        </t>
  </si>
  <si>
    <t>Rvyp - rozv.po om.,plast</t>
  </si>
  <si>
    <t>195x195x105</t>
  </si>
  <si>
    <t>Jistič 3x80A/B do RH</t>
  </si>
  <si>
    <t>Celkem rozvaděče bez DPH</t>
  </si>
  <si>
    <t>Hromosvod</t>
  </si>
  <si>
    <t>pomocný jímač 0,5m</t>
  </si>
  <si>
    <t>trubka tuhá plast. 16</t>
  </si>
  <si>
    <t>podpěry na střechu plast.</t>
  </si>
  <si>
    <t>dtto na zeď</t>
  </si>
  <si>
    <t>svorky spojovací SS</t>
  </si>
  <si>
    <t>sv.pro připoj.plech.částí SP</t>
  </si>
  <si>
    <t>svorka okapová SO</t>
  </si>
  <si>
    <t>svorka zkušební SZ</t>
  </si>
  <si>
    <t>krabice do zateplení pro SZ</t>
  </si>
  <si>
    <t>185x145 s podložkou vč.víčka</t>
  </si>
  <si>
    <t>hl. 160mm</t>
  </si>
  <si>
    <t>Celkem hromosvod bez DPH</t>
  </si>
  <si>
    <t>Součet silonoproud</t>
  </si>
  <si>
    <r>
      <t xml:space="preserve">tr.oheb.pod om. </t>
    </r>
    <r>
      <rPr>
        <sz val="8"/>
        <rFont val="Calibri"/>
        <family val="2"/>
      </rPr>
      <t>Ø 16</t>
    </r>
  </si>
  <si>
    <r>
      <t xml:space="preserve">drát FeZn </t>
    </r>
    <r>
      <rPr>
        <sz val="8"/>
        <rFont val="Calibri"/>
        <family val="2"/>
      </rPr>
      <t>ø 8mm</t>
    </r>
  </si>
  <si>
    <r>
      <t xml:space="preserve">dtto </t>
    </r>
    <r>
      <rPr>
        <sz val="8"/>
        <rFont val="Calibri"/>
        <family val="2"/>
      </rPr>
      <t>ø</t>
    </r>
    <r>
      <rPr>
        <sz val="8"/>
        <rFont val="Arial CE"/>
        <family val="2"/>
      </rPr>
      <t xml:space="preserve"> 10mm</t>
    </r>
  </si>
  <si>
    <t>1. Materiály uvedené ve specifikacích budou na základě předložených vzorků upřesněny investorem
2.Standardy materiálů označují minimální standard , dodavatel může použít jakýkoli materiál, splňující standard ! 
3.Dodavatel je povinen ocenit jednotlivé položky tak, aby k jejich splnění nepotřeboval další dodatky a vícepráce
4.Veškeré skladby jsou myšleny včetně pomocných prvků a konstrukcí. Prvky neuvedené ve výkazu jsou nedílnou součástí dodávky jednotlivé položky 
5.U označených položek (truhlářské, zámečnické, klempířské výrobky, tabulky úprav povrchů, tabulky výplní otvorů a ostatní výrobky) je nutné dodržet při nacenění technické parametry uvedené v PD. 
V PD uvedené technické parametry jsou pro zhotovitele závazné. Zhotovitel je oprávněn zvolit jiné, srovnatelné materiály, jež zabezpečí shodnou anebo vyšší technickou hodnotu díla. Nabízené materiály předloží objednateli ke schválení a dosažení požadovaných parametrů doloží hodnověrnými dokumenty (atesty, výsledky zkoušek, doklad o shodě apod.). Kde zhotovitel nabídne srovnatelný výrobek nebo materiál na místo označeného nebo specifikovaného, který byl přijat k začlenění do díla, pak se má zato, že sazby a ceny ve výkazu výměr zahrnují veškeré povinnosti a náklady spojené se začleněním srovnatelného výrobku do díla. </t>
  </si>
  <si>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</si>
  <si>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</si>
  <si>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</si>
  <si>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</si>
  <si>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</si>
  <si>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</si>
  <si>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</si>
  <si>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</si>
  <si>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</si>
  <si>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</si>
  <si>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</si>
  <si>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</si>
  <si>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</si>
  <si>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</si>
  <si>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</si>
  <si>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</si>
  <si>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</si>
  <si>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</si>
  <si>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</si>
  <si>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</si>
  <si>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</si>
  <si>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</si>
  <si>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</si>
  <si>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</si>
  <si>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</si>
  <si>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</si>
  <si>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</si>
  <si>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</si>
  <si>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</si>
  <si>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</si>
  <si>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</si>
  <si>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</si>
  <si>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</si>
  <si>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</si>
  <si>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</si>
  <si>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</si>
  <si>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</si>
  <si>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</si>
  <si>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</si>
  <si>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</si>
  <si>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</si>
  <si>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</si>
  <si>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</si>
  <si>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</si>
  <si>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</si>
  <si>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</si>
  <si>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</si>
  <si>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</si>
  <si>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</si>
  <si>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</si>
  <si>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</si>
  <si>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</si>
  <si>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</si>
  <si>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</si>
  <si>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</si>
  <si>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</si>
  <si>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</si>
  <si>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</si>
  <si>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</si>
  <si>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</si>
  <si>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</si>
  <si>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</si>
  <si>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</si>
  <si>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</si>
  <si>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</si>
  <si>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</si>
  <si>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</si>
  <si>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</si>
  <si>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</si>
  <si>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</si>
  <si>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</si>
  <si>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</si>
  <si>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</si>
  <si>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</si>
  <si>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</si>
  <si>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</si>
  <si>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</si>
  <si>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</si>
  <si>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</si>
  <si>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</si>
  <si>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</si>
  <si>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</si>
  <si>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</si>
  <si>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</si>
  <si>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</si>
  <si>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</si>
  <si>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</si>
  <si>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</si>
  <si>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</si>
  <si>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</si>
  <si>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</si>
  <si>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</si>
  <si>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</si>
  <si>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</si>
  <si>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</si>
  <si>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</si>
  <si>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</si>
  <si>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</si>
  <si>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</si>
  <si>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</si>
  <si>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</si>
  <si>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</si>
  <si>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</si>
  <si>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</si>
  <si>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</si>
  <si>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</si>
  <si>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</si>
  <si>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</si>
  <si>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</si>
  <si>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</si>
  <si>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</si>
  <si>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</si>
  <si>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</si>
  <si>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</si>
  <si>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</si>
  <si>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</si>
  <si>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</si>
  <si>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</si>
  <si>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</si>
  <si>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</si>
  <si>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</si>
  <si>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</si>
  <si>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</si>
  <si>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</si>
  <si>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</si>
  <si>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</si>
  <si>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</si>
  <si>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</si>
  <si>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</si>
  <si>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</si>
  <si>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</si>
  <si>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</si>
  <si>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</si>
  <si>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</si>
  <si>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</si>
  <si>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</si>
  <si>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</si>
  <si>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</si>
  <si>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</si>
  <si>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</si>
  <si>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</si>
  <si>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</si>
  <si>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</si>
  <si>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</si>
  <si>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</si>
  <si>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</si>
  <si>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</si>
  <si>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</si>
  <si>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</si>
  <si>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</si>
  <si>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</si>
  <si>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</si>
  <si>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</si>
  <si>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</si>
  <si>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</si>
  <si>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</si>
  <si>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</si>
  <si>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</si>
  <si>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</si>
  <si>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</si>
  <si>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</si>
  <si>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</si>
  <si>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</si>
  <si>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</si>
  <si>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</si>
  <si>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</si>
  <si>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</si>
  <si>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</si>
  <si>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</si>
  <si>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</si>
  <si>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</si>
  <si>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</si>
  <si>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</si>
  <si>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</si>
  <si>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</si>
  <si>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</si>
  <si>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</si>
  <si>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</si>
  <si>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</si>
  <si>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</si>
  <si>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</si>
  <si>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</si>
  <si>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</si>
  <si>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</si>
  <si>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</si>
  <si>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</si>
  <si>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</si>
  <si>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</si>
  <si>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</si>
  <si>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</si>
  <si>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</si>
  <si>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</si>
  <si>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</si>
  <si>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</si>
  <si>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</si>
  <si>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</si>
  <si>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</si>
  <si>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</si>
  <si>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</si>
  <si>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</si>
  <si>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</si>
  <si>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</si>
  <si>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</si>
  <si>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</si>
  <si>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</si>
  <si>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</si>
  <si>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</si>
  <si>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</si>
  <si>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</si>
  <si>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</si>
  <si>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</si>
  <si>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</si>
  <si>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</si>
  <si>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</si>
  <si>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</si>
  <si>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</si>
  <si>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</si>
  <si>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</si>
  <si>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</si>
  <si>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</si>
  <si>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</si>
  <si>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</si>
  <si>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</si>
  <si>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</si>
  <si>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</si>
  <si>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</si>
  <si>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</si>
  <si>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</si>
  <si>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</si>
  <si>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</si>
  <si>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</si>
  <si>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</si>
  <si>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</si>
  <si>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</si>
  <si>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</si>
  <si>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</si>
  <si>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</si>
  <si>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</si>
  <si>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</si>
  <si>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</si>
  <si>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</si>
  <si>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</si>
  <si>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</si>
  <si>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</si>
  <si>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</si>
  <si>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</si>
  <si>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</si>
  <si>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</si>
  <si>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</si>
  <si>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</si>
  <si>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</si>
  <si>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</si>
  <si>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</si>
  <si>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</si>
  <si>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</si>
  <si>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</si>
  <si>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</si>
  <si>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</si>
  <si>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</si>
  <si>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</si>
  <si>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</si>
  <si>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</si>
  <si>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</si>
  <si>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</si>
  <si>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</si>
  <si>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</si>
  <si>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</si>
  <si>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</si>
  <si>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</si>
  <si>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</si>
  <si>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</si>
  <si>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</si>
  <si>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</si>
  <si>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</si>
  <si>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</si>
  <si>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</si>
  <si>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</si>
  <si>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</si>
  <si>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</si>
  <si>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</si>
  <si>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</si>
  <si>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</si>
  <si>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</si>
  <si>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</si>
  <si>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</si>
  <si>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</si>
  <si>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</si>
  <si>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</si>
  <si>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</si>
  <si>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</si>
  <si>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</si>
  <si>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</si>
  <si>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</si>
  <si>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</si>
  <si>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</si>
  <si>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</si>
  <si>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</si>
  <si>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</si>
  <si>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</si>
  <si>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</si>
  <si>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</si>
  <si>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</si>
  <si>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</si>
  <si>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</si>
  <si>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</si>
  <si>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</si>
  <si>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</si>
  <si>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</si>
  <si>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</si>
  <si>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</si>
  <si>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</si>
  <si>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</si>
  <si>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</si>
  <si>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</si>
  <si>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</si>
  <si>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</si>
  <si>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</si>
  <si>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</si>
  <si>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</si>
  <si>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</si>
  <si>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</si>
  <si>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</si>
  <si>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</si>
  <si>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</si>
  <si>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</si>
  <si>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</si>
  <si>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</si>
  <si>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</si>
  <si>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</si>
  <si>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</si>
  <si>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</si>
  <si>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</si>
  <si>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</si>
  <si>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</si>
  <si>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</si>
  <si>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</si>
  <si>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</si>
  <si>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</si>
  <si>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</si>
  <si>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</si>
  <si>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</si>
  <si>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</si>
  <si>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</si>
  <si>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</si>
  <si>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</si>
  <si>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</si>
  <si>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</si>
  <si>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</si>
  <si>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</si>
  <si>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</si>
  <si>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</si>
  <si>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</si>
  <si>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</si>
  <si>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</si>
  <si>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</si>
  <si>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</si>
  <si>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</si>
  <si>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</si>
  <si>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</si>
  <si>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</si>
  <si>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</si>
  <si>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</si>
  <si>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</si>
  <si>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</si>
  <si>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</si>
  <si>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</si>
  <si>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</si>
  <si>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</si>
  <si>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</si>
  <si>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</si>
  <si>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</si>
  <si>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</si>
  <si>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</si>
  <si>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</si>
  <si>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</si>
  <si>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</si>
  <si>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</si>
  <si>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</si>
  <si>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</si>
  <si>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</si>
  <si>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</si>
  <si>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Poznámka:</t>
  </si>
  <si>
    <t>Kód</t>
  </si>
  <si>
    <t>132301110R00</t>
  </si>
  <si>
    <t>133301101R00</t>
  </si>
  <si>
    <t>174101102R00</t>
  </si>
  <si>
    <t>139601102R00</t>
  </si>
  <si>
    <t>181300010RAA</t>
  </si>
  <si>
    <t>162301102R00</t>
  </si>
  <si>
    <t>274313511R00</t>
  </si>
  <si>
    <t>274313621R00</t>
  </si>
  <si>
    <t>289970111R00</t>
  </si>
  <si>
    <t>311238153R00</t>
  </si>
  <si>
    <t>311230058R-1</t>
  </si>
  <si>
    <t>311238112R00</t>
  </si>
  <si>
    <t>317944313R00</t>
  </si>
  <si>
    <t>13383425</t>
  </si>
  <si>
    <t>317234410RT2</t>
  </si>
  <si>
    <t>317161304RA0</t>
  </si>
  <si>
    <t>317162804RA0</t>
  </si>
  <si>
    <t>317161302RA0</t>
  </si>
  <si>
    <t>317941121R00</t>
  </si>
  <si>
    <t>133301520000</t>
  </si>
  <si>
    <t>317121021RU2</t>
  </si>
  <si>
    <t>317162802RA0</t>
  </si>
  <si>
    <t>317162809RA0</t>
  </si>
  <si>
    <t>317162810RA0</t>
  </si>
  <si>
    <t>342248141R00</t>
  </si>
  <si>
    <t>342668111R00</t>
  </si>
  <si>
    <t>346244381RT2</t>
  </si>
  <si>
    <t>342266111RW7</t>
  </si>
  <si>
    <t>342267112R00</t>
  </si>
  <si>
    <t>347013110R00</t>
  </si>
  <si>
    <t>342263991R00</t>
  </si>
  <si>
    <t>342264515RT2</t>
  </si>
  <si>
    <t>413941121R00</t>
  </si>
  <si>
    <t>13383420</t>
  </si>
  <si>
    <t>411354256R00</t>
  </si>
  <si>
    <t>411321315R00</t>
  </si>
  <si>
    <t>413941123R00</t>
  </si>
  <si>
    <t>13482710</t>
  </si>
  <si>
    <t>411361921R00</t>
  </si>
  <si>
    <t>416021122R00</t>
  </si>
  <si>
    <t>342264051RT2</t>
  </si>
  <si>
    <t>342264091R00</t>
  </si>
  <si>
    <t>416021128R00</t>
  </si>
  <si>
    <t>416021124R00</t>
  </si>
  <si>
    <t>417388162R00</t>
  </si>
  <si>
    <t>417321315R00</t>
  </si>
  <si>
    <t>417351111R00</t>
  </si>
  <si>
    <t>417351113R00</t>
  </si>
  <si>
    <t>417361821R00</t>
  </si>
  <si>
    <t>419941001R00</t>
  </si>
  <si>
    <t>413232221RT2</t>
  </si>
  <si>
    <t>434200001RA0</t>
  </si>
  <si>
    <t>564851111R00</t>
  </si>
  <si>
    <t>564952113R00</t>
  </si>
  <si>
    <t>577000112RA0</t>
  </si>
  <si>
    <t>596811111RT5</t>
  </si>
  <si>
    <t>610991111R00</t>
  </si>
  <si>
    <t>612420016RAA</t>
  </si>
  <si>
    <t>612420014RAA</t>
  </si>
  <si>
    <t>612473185R00</t>
  </si>
  <si>
    <t>612473186R00</t>
  </si>
  <si>
    <t>612421321R00</t>
  </si>
  <si>
    <t>612481211RT2</t>
  </si>
  <si>
    <t>602011144RT3</t>
  </si>
  <si>
    <t>612434124R00</t>
  </si>
  <si>
    <t>281661111R01</t>
  </si>
  <si>
    <t>622300152R00</t>
  </si>
  <si>
    <t>13851110</t>
  </si>
  <si>
    <t>610991002R00</t>
  </si>
  <si>
    <t>620991121R00</t>
  </si>
  <si>
    <t>622903111R00</t>
  </si>
  <si>
    <t>622477122R00</t>
  </si>
  <si>
    <t>622311835RT3</t>
  </si>
  <si>
    <t>622311524RU1</t>
  </si>
  <si>
    <t>622311524RV1</t>
  </si>
  <si>
    <t>622311650RT3</t>
  </si>
  <si>
    <t>713130090RA0</t>
  </si>
  <si>
    <t>283755013</t>
  </si>
  <si>
    <t>63140158</t>
  </si>
  <si>
    <t>620991004R00</t>
  </si>
  <si>
    <t>622311024R00</t>
  </si>
  <si>
    <t>622300153R00</t>
  </si>
  <si>
    <t>28350251</t>
  </si>
  <si>
    <t>622421494R00</t>
  </si>
  <si>
    <t>28350140</t>
  </si>
  <si>
    <t>283502708</t>
  </si>
  <si>
    <t>632411105RT3</t>
  </si>
  <si>
    <t>631315711RT4</t>
  </si>
  <si>
    <t>631316211R00</t>
  </si>
  <si>
    <t>631317205R00</t>
  </si>
  <si>
    <t>634601112</t>
  </si>
  <si>
    <t>631313621R00</t>
  </si>
  <si>
    <t>631319173R00</t>
  </si>
  <si>
    <t>631319163R00</t>
  </si>
  <si>
    <t>631361921RT1</t>
  </si>
  <si>
    <t>639571311R00</t>
  </si>
  <si>
    <t>639561121R00</t>
  </si>
  <si>
    <t>631315713R00</t>
  </si>
  <si>
    <t>631319175R00</t>
  </si>
  <si>
    <t>965048515R00</t>
  </si>
  <si>
    <t>648991113RT2</t>
  </si>
  <si>
    <t>648991111RT3</t>
  </si>
  <si>
    <t>642942111RT3</t>
  </si>
  <si>
    <t>642942111RT4</t>
  </si>
  <si>
    <t>642942111RT5</t>
  </si>
  <si>
    <t>711</t>
  </si>
  <si>
    <t>711140102R00</t>
  </si>
  <si>
    <t>979081111R00</t>
  </si>
  <si>
    <t>979081121R00</t>
  </si>
  <si>
    <t>979990121R00</t>
  </si>
  <si>
    <t>711111001RZ1</t>
  </si>
  <si>
    <t>711112001RZ1</t>
  </si>
  <si>
    <t>711141559RY5</t>
  </si>
  <si>
    <t>711142559RZ2</t>
  </si>
  <si>
    <t>711191271RT2</t>
  </si>
  <si>
    <t>711212002R00</t>
  </si>
  <si>
    <t>998711102R00</t>
  </si>
  <si>
    <t>712</t>
  </si>
  <si>
    <t>712311101RZ1</t>
  </si>
  <si>
    <t>712341659RZ3</t>
  </si>
  <si>
    <t>712341559RY5</t>
  </si>
  <si>
    <t>998712102R00</t>
  </si>
  <si>
    <t>713</t>
  </si>
  <si>
    <t>713121118RU1</t>
  </si>
  <si>
    <t>713121111R00</t>
  </si>
  <si>
    <t>28375460</t>
  </si>
  <si>
    <t>713191100RT9</t>
  </si>
  <si>
    <t>713121121R00</t>
  </si>
  <si>
    <t>28375768.A</t>
  </si>
  <si>
    <t>713141124R00</t>
  </si>
  <si>
    <t>63140227</t>
  </si>
  <si>
    <t>998713102R00</t>
  </si>
  <si>
    <t>721</t>
  </si>
  <si>
    <t>721170968R00</t>
  </si>
  <si>
    <t>721176222R00</t>
  </si>
  <si>
    <t>721176223R00</t>
  </si>
  <si>
    <t>721176224R00</t>
  </si>
  <si>
    <t>721176225R00</t>
  </si>
  <si>
    <t>721223423RT1</t>
  </si>
  <si>
    <t>721176102R00</t>
  </si>
  <si>
    <t>721176103R00</t>
  </si>
  <si>
    <t>721176104R00</t>
  </si>
  <si>
    <t>721176105R00</t>
  </si>
  <si>
    <t>721176113R00</t>
  </si>
  <si>
    <t>721176114R00</t>
  </si>
  <si>
    <t>721176115R00</t>
  </si>
  <si>
    <t>721194103R00</t>
  </si>
  <si>
    <t>721194105R00</t>
  </si>
  <si>
    <t>721194109R00</t>
  </si>
  <si>
    <t>721239101R00</t>
  </si>
  <si>
    <t>721273145R00</t>
  </si>
  <si>
    <t>721290111R00</t>
  </si>
  <si>
    <t>721290112R00</t>
  </si>
  <si>
    <t>721290123R00</t>
  </si>
  <si>
    <t>969021121R00</t>
  </si>
  <si>
    <t>721290822R00</t>
  </si>
  <si>
    <t>720000001</t>
  </si>
  <si>
    <t>720100001</t>
  </si>
  <si>
    <t>722</t>
  </si>
  <si>
    <t>722170926R00</t>
  </si>
  <si>
    <t>722172331R00</t>
  </si>
  <si>
    <t>722172332R00</t>
  </si>
  <si>
    <t>722172333R00</t>
  </si>
  <si>
    <t>722172915R00</t>
  </si>
  <si>
    <t>722181211RT7</t>
  </si>
  <si>
    <t>722181211RT8</t>
  </si>
  <si>
    <t>722181211RU2</t>
  </si>
  <si>
    <t>722181245RU1</t>
  </si>
  <si>
    <t>722181243RV9</t>
  </si>
  <si>
    <t>722190401R00</t>
  </si>
  <si>
    <t>722190403R00</t>
  </si>
  <si>
    <t>722130234R00</t>
  </si>
  <si>
    <t>722237131R00</t>
  </si>
  <si>
    <t>722237132R00</t>
  </si>
  <si>
    <t>722237134R00</t>
  </si>
  <si>
    <t>722237663R00</t>
  </si>
  <si>
    <t>722237661R00</t>
  </si>
  <si>
    <t>722254114RM2</t>
  </si>
  <si>
    <t>722280107R00</t>
  </si>
  <si>
    <t>722280106R00</t>
  </si>
  <si>
    <t>722290234R00</t>
  </si>
  <si>
    <t>722239107R00</t>
  </si>
  <si>
    <t>551999999</t>
  </si>
  <si>
    <t>725013135R00</t>
  </si>
  <si>
    <t>725017133R00</t>
  </si>
  <si>
    <t>725039131R00</t>
  </si>
  <si>
    <t>725129201R00</t>
  </si>
  <si>
    <t>55231608</t>
  </si>
  <si>
    <t>725219201R00</t>
  </si>
  <si>
    <t>55230552</t>
  </si>
  <si>
    <t>725823111RT1</t>
  </si>
  <si>
    <t>725823114RT1</t>
  </si>
  <si>
    <t>725825111RT1</t>
  </si>
  <si>
    <t>725825114RT1</t>
  </si>
  <si>
    <t>725845111R00</t>
  </si>
  <si>
    <t>725849302R00</t>
  </si>
  <si>
    <t>725119305R00</t>
  </si>
  <si>
    <t>55231504</t>
  </si>
  <si>
    <t>725530151R00</t>
  </si>
  <si>
    <t>725810402R00</t>
  </si>
  <si>
    <t>713571111RU1</t>
  </si>
  <si>
    <t>732</t>
  </si>
  <si>
    <t>732219315R00</t>
  </si>
  <si>
    <t>48438632A</t>
  </si>
  <si>
    <t>732421313R00</t>
  </si>
  <si>
    <t>732421311R00</t>
  </si>
  <si>
    <t>732331513R00</t>
  </si>
  <si>
    <t>732214824R00</t>
  </si>
  <si>
    <t>998732102R00</t>
  </si>
  <si>
    <t>36000001</t>
  </si>
  <si>
    <t>733</t>
  </si>
  <si>
    <t>346244371RT2</t>
  </si>
  <si>
    <t>722181245RT5</t>
  </si>
  <si>
    <t>722181245RT7</t>
  </si>
  <si>
    <t>722181245RT9</t>
  </si>
  <si>
    <t>722181245RV9</t>
  </si>
  <si>
    <t>733111302R00</t>
  </si>
  <si>
    <t>733111303R00</t>
  </si>
  <si>
    <t>733111304R00</t>
  </si>
  <si>
    <t>733111305R00</t>
  </si>
  <si>
    <t>733113112R00</t>
  </si>
  <si>
    <t>733113115R00</t>
  </si>
  <si>
    <t>733190106R00</t>
  </si>
  <si>
    <t>733191111R00</t>
  </si>
  <si>
    <t>974031167R00</t>
  </si>
  <si>
    <t>998722102R00</t>
  </si>
  <si>
    <t>998733103R00</t>
  </si>
  <si>
    <t>998021021R00</t>
  </si>
  <si>
    <t>734</t>
  </si>
  <si>
    <t>734173422R00</t>
  </si>
  <si>
    <t>734190822R00</t>
  </si>
  <si>
    <t>734209102RT2</t>
  </si>
  <si>
    <t>734211113R00</t>
  </si>
  <si>
    <t>734221672RT3</t>
  </si>
  <si>
    <t>734226121RT1</t>
  </si>
  <si>
    <t>734235123R00</t>
  </si>
  <si>
    <t>734235122R00</t>
  </si>
  <si>
    <t>734266111R00</t>
  </si>
  <si>
    <t>734293114R00</t>
  </si>
  <si>
    <t>734293115R00</t>
  </si>
  <si>
    <t>734294213R00</t>
  </si>
  <si>
    <t>998734103R00</t>
  </si>
  <si>
    <t>735</t>
  </si>
  <si>
    <t>735000911R00</t>
  </si>
  <si>
    <t>735111350R00</t>
  </si>
  <si>
    <t>735111530R00</t>
  </si>
  <si>
    <t>735111540R00</t>
  </si>
  <si>
    <t>735111300R00</t>
  </si>
  <si>
    <t>735111380R00</t>
  </si>
  <si>
    <t>735118110R00</t>
  </si>
  <si>
    <t>735127110R00</t>
  </si>
  <si>
    <t>735191910R00</t>
  </si>
  <si>
    <t>783324140R00</t>
  </si>
  <si>
    <t>783424140R00</t>
  </si>
  <si>
    <t>998735102R00</t>
  </si>
  <si>
    <t>763</t>
  </si>
  <si>
    <t>763761201R00</t>
  </si>
  <si>
    <t>55347624</t>
  </si>
  <si>
    <t>998763101R00</t>
  </si>
  <si>
    <t>764</t>
  </si>
  <si>
    <t>764718304R00</t>
  </si>
  <si>
    <t>764718104R00</t>
  </si>
  <si>
    <t>764775308R00</t>
  </si>
  <si>
    <t>764430391R00</t>
  </si>
  <si>
    <t>19475100</t>
  </si>
  <si>
    <t>764333391R00</t>
  </si>
  <si>
    <t>764718109R00</t>
  </si>
  <si>
    <t>764334391R00</t>
  </si>
  <si>
    <t>998764102R00</t>
  </si>
  <si>
    <t>766</t>
  </si>
  <si>
    <t>766629303R00</t>
  </si>
  <si>
    <t>61143859</t>
  </si>
  <si>
    <t>766629302R00</t>
  </si>
  <si>
    <t>61143819</t>
  </si>
  <si>
    <t>766661112R00</t>
  </si>
  <si>
    <t>61160102</t>
  </si>
  <si>
    <t>61160103</t>
  </si>
  <si>
    <t>766661122R00</t>
  </si>
  <si>
    <t>61160104</t>
  </si>
  <si>
    <t>766601113R00</t>
  </si>
  <si>
    <t>766664915R00</t>
  </si>
  <si>
    <t>766664911R00</t>
  </si>
  <si>
    <t>42973150</t>
  </si>
  <si>
    <t>766669118R00</t>
  </si>
  <si>
    <t>54999002</t>
  </si>
  <si>
    <t>766670021R00</t>
  </si>
  <si>
    <t>54914638</t>
  </si>
  <si>
    <t>766810010RAB</t>
  </si>
  <si>
    <t>766810010RAC</t>
  </si>
  <si>
    <t>766825111R00</t>
  </si>
  <si>
    <t>55711104</t>
  </si>
  <si>
    <t>766827100R00</t>
  </si>
  <si>
    <t>998766102R00</t>
  </si>
  <si>
    <t>767</t>
  </si>
  <si>
    <t>767392802R00</t>
  </si>
  <si>
    <t>767392112R00</t>
  </si>
  <si>
    <t>15484535</t>
  </si>
  <si>
    <t>767640018RA0</t>
  </si>
  <si>
    <t>767640029RA0</t>
  </si>
  <si>
    <t>767651220R00</t>
  </si>
  <si>
    <t>55344630</t>
  </si>
  <si>
    <t>767640118RAA</t>
  </si>
  <si>
    <t>767662210R00</t>
  </si>
  <si>
    <t>55341704</t>
  </si>
  <si>
    <t>767995106R00</t>
  </si>
  <si>
    <t>13611232</t>
  </si>
  <si>
    <t>13611224</t>
  </si>
  <si>
    <t>13611218</t>
  </si>
  <si>
    <t>13611238</t>
  </si>
  <si>
    <t>767995107R00</t>
  </si>
  <si>
    <t>13756585</t>
  </si>
  <si>
    <t>767995101R00</t>
  </si>
  <si>
    <t>15411580</t>
  </si>
  <si>
    <t>31477601</t>
  </si>
  <si>
    <t>55399994.A</t>
  </si>
  <si>
    <t>998767102R00</t>
  </si>
  <si>
    <t>771</t>
  </si>
  <si>
    <t>771570014RA0</t>
  </si>
  <si>
    <t>771100010RA0</t>
  </si>
  <si>
    <t>771577114R00</t>
  </si>
  <si>
    <t>771475014R00</t>
  </si>
  <si>
    <t>597816</t>
  </si>
  <si>
    <t>998771102R00</t>
  </si>
  <si>
    <t>776</t>
  </si>
  <si>
    <t>776521200RU7</t>
  </si>
  <si>
    <t>776421100RU1</t>
  </si>
  <si>
    <t>998776102R00</t>
  </si>
  <si>
    <t>781</t>
  </si>
  <si>
    <t>781470010RA0</t>
  </si>
  <si>
    <t>781491002R</t>
  </si>
  <si>
    <t>998781102R00</t>
  </si>
  <si>
    <t>783</t>
  </si>
  <si>
    <t>783801812R00</t>
  </si>
  <si>
    <t>783950010RAA</t>
  </si>
  <si>
    <t>783522000R00</t>
  </si>
  <si>
    <t>783851280</t>
  </si>
  <si>
    <t>784</t>
  </si>
  <si>
    <t>784450075RA0</t>
  </si>
  <si>
    <t>787</t>
  </si>
  <si>
    <t>787340230R00</t>
  </si>
  <si>
    <t>998787102R00</t>
  </si>
  <si>
    <t>894230030RA0</t>
  </si>
  <si>
    <t>894115111R00</t>
  </si>
  <si>
    <t>917862111RT5</t>
  </si>
  <si>
    <t>941940031RAB</t>
  </si>
  <si>
    <t>941955002R00</t>
  </si>
  <si>
    <t>943943221R00</t>
  </si>
  <si>
    <t>943943292R00</t>
  </si>
  <si>
    <t>943943821R00</t>
  </si>
  <si>
    <t>953941212R00</t>
  </si>
  <si>
    <t>55341702</t>
  </si>
  <si>
    <t>953171002R00</t>
  </si>
  <si>
    <t>553400404</t>
  </si>
  <si>
    <t>953941121R00</t>
  </si>
  <si>
    <t>952901221R00</t>
  </si>
  <si>
    <t>952901119</t>
  </si>
  <si>
    <t>999281108R00</t>
  </si>
  <si>
    <t>965042241RT5</t>
  </si>
  <si>
    <t>965082933RT1</t>
  </si>
  <si>
    <t>965042141RT4</t>
  </si>
  <si>
    <t>962100034RA0</t>
  </si>
  <si>
    <t>962032231R00</t>
  </si>
  <si>
    <t>971033651R00</t>
  </si>
  <si>
    <t>973031325R00</t>
  </si>
  <si>
    <t>974031666R00</t>
  </si>
  <si>
    <t>978013192</t>
  </si>
  <si>
    <t>978013193</t>
  </si>
  <si>
    <t>978013191R00</t>
  </si>
  <si>
    <t>968071112R00</t>
  </si>
  <si>
    <t>968071125R00</t>
  </si>
  <si>
    <t>968072247R00</t>
  </si>
  <si>
    <t>968072455R00</t>
  </si>
  <si>
    <t>968072456R00</t>
  </si>
  <si>
    <t>113202111R00</t>
  </si>
  <si>
    <t>979082111R00</t>
  </si>
  <si>
    <t>979082121R00</t>
  </si>
  <si>
    <t>979981106R00</t>
  </si>
  <si>
    <t>981512114R00</t>
  </si>
  <si>
    <t>M21</t>
  </si>
  <si>
    <t>210000001</t>
  </si>
  <si>
    <t>M22</t>
  </si>
  <si>
    <t>220000001</t>
  </si>
  <si>
    <t>STAVEBNÍ ÚPRAVY BÝVALÉ KOTELNY VĚZNICE</t>
  </si>
  <si>
    <t>rekonstrukce</t>
  </si>
  <si>
    <t>Vinařice u Kladna, č. 245</t>
  </si>
  <si>
    <t>Zkrácený popis</t>
  </si>
  <si>
    <t>Rozměry</t>
  </si>
  <si>
    <t>Zemní práce</t>
  </si>
  <si>
    <t>Hloubení rýh š.do 60 cm v hor.4 do 50 m3,STROJNĚ</t>
  </si>
  <si>
    <t>(8,7+5,35+3,775+3,8)*0,5*0,7</t>
  </si>
  <si>
    <t>Hloubení šachet v hor.4 do 100 m3</t>
  </si>
  <si>
    <t>1,4*1,6*1,1</t>
  </si>
  <si>
    <t>Zásyp ruční se zhutněním</t>
  </si>
  <si>
    <t>3,01083*10</t>
  </si>
  <si>
    <t>1,46*1,25*0,4   po výtahu násypky</t>
  </si>
  <si>
    <t>Ruční výkop jam, rýh a šachet v hornině tř. 3</t>
  </si>
  <si>
    <t>(9,15+5,5+6,8)*0,5*0,3   OP3a a TU1</t>
  </si>
  <si>
    <t>(9,15+5,5+6,8)*0,5*0,1   OP3a a TU1</t>
  </si>
  <si>
    <t>Rozprostření ornice v rovině tloušťka 15 cm dovoz ornice ze vzdálenosti 500 m, osetí trávou</t>
  </si>
  <si>
    <t>10+6+4</t>
  </si>
  <si>
    <t>Vodorovné přemístění výkopku z hor.1-4 do 1000 m</t>
  </si>
  <si>
    <t>7,569+2,464</t>
  </si>
  <si>
    <t>předpoklad uložení na pozemku investora</t>
  </si>
  <si>
    <t>Základy</t>
  </si>
  <si>
    <t>Beton základových pasů prostý C 12/15</t>
  </si>
  <si>
    <t>(8,7+5,35+3,775+3,8)*0,5*0,05</t>
  </si>
  <si>
    <t>Beton základových pasů prostý C 20/25</t>
  </si>
  <si>
    <t>(8,7+5,35+3,775+3,8)*0,5*0,65</t>
  </si>
  <si>
    <t>Zpevňování hornin a konstrukcí</t>
  </si>
  <si>
    <t>Vrstva geotextilie  300g/m2</t>
  </si>
  <si>
    <t>1,675*1,02+2,79*1,02+1,67*1,02   TU3</t>
  </si>
  <si>
    <t>Zdi podpěrné a volné</t>
  </si>
  <si>
    <t>Zdivo keram P15, tl. 240 mm</t>
  </si>
  <si>
    <t>(5,6+2,45+3,775+5+3,55)*2,625+1,32*1,88-1*2,02*2</t>
  </si>
  <si>
    <t>Zdivo nosné , tloušťka 44 cm, P 15 - zazdívky otvorů</t>
  </si>
  <si>
    <t>0,48*0,48*0,45+(0,686+0,16)*2,02*0,45+2,37*1,22*0,45   1.NP</t>
  </si>
  <si>
    <t>2,37*1,34*0,45*6+1,98*0,9*0,4   2.NP</t>
  </si>
  <si>
    <t>Zdivo keram. P10 na MVC 5, tl. 175 mm</t>
  </si>
  <si>
    <t>(5,2+4,95)*3,25-1,5*1,47*2   2.NP</t>
  </si>
  <si>
    <t>Válcované nosníky č.14-22 do připravených otvorů</t>
  </si>
  <si>
    <t>2,6*6*0,0129</t>
  </si>
  <si>
    <t>Tyč průřezu IPE 140, střední, jakost oceli S235</t>
  </si>
  <si>
    <t>;ztratné 8%; 0,01608</t>
  </si>
  <si>
    <t>Vyzdívka mezi nosníky cihlami pálenými na MC</t>
  </si>
  <si>
    <t>2,6*2*0,45*0,14</t>
  </si>
  <si>
    <t>Sestava překladů pro tl. 240, bez izol. dl.1750 mm</t>
  </si>
  <si>
    <t>1   PR7</t>
  </si>
  <si>
    <t>Sestava překladů pro tl. 440,s izolací, dl.1750 mm</t>
  </si>
  <si>
    <t>2   PR3</t>
  </si>
  <si>
    <t>Sestava překladů pro tl. 240, bez izol. dl.1250 mm</t>
  </si>
  <si>
    <t>2   PR2</t>
  </si>
  <si>
    <t>Osazení ocelových válcovaných nosníků do č.12</t>
  </si>
  <si>
    <t>2,64*0,00447   Z19</t>
  </si>
  <si>
    <t>Úhelník rovnoramenný L jakost S235  50x50x6 mm</t>
  </si>
  <si>
    <t>2,64*4,47</t>
  </si>
  <si>
    <t>;ztratné 8%; 0,94408</t>
  </si>
  <si>
    <t>Osazení překladu keram. plochého, světl. do 105 cm včetně dodávky překladu 125 x 11,5 x 7,1 cm</t>
  </si>
  <si>
    <t>8   PR1</t>
  </si>
  <si>
    <t>Sestava překladů pro tl. 440,s izolací, dl.1250 mm</t>
  </si>
  <si>
    <t>2   PR4</t>
  </si>
  <si>
    <t>Sestava překladů pro tl. 440,s izolací, dl.3000 mm</t>
  </si>
  <si>
    <t>1   PR5</t>
  </si>
  <si>
    <t>Sestava překladů pro tl. 440,s izolací, dl.3250 mm</t>
  </si>
  <si>
    <t>1   PR6</t>
  </si>
  <si>
    <t>Stěny a příčky</t>
  </si>
  <si>
    <t>Příčky keram, tl. 115 mm P10, MVC 2,5 Mpa</t>
  </si>
  <si>
    <t>(2,275+0,775+2,5+2,05+1,65+0,595+0,275+0,93+1,95+0,15+0,6+3+4,25)*2,625   1.NP</t>
  </si>
  <si>
    <t>(0,95+0,915+7,565+4,595+4,7+1,99*2+3,175+1,7)*3,25-(0,9*2,02*3+0,8*2,02*2)   2.NP</t>
  </si>
  <si>
    <t>Těsnění styku příčky se stáv. konstrukcí PU pěnou</t>
  </si>
  <si>
    <t>2,54*4+3,25*5</t>
  </si>
  <si>
    <t>Plentování ocelových nosníků výšky do 20 cm</t>
  </si>
  <si>
    <t>2,6*4*0,14</t>
  </si>
  <si>
    <t>Obklad stěn sádrokartonem na ocelovou konstrukci desky standard tl. 15 mm, bez izolace</t>
  </si>
  <si>
    <t>27,6*1,5+6,5*1,5   opláštění potrubí</t>
  </si>
  <si>
    <t>Obklad trámů sádrokartonem třístranný do 0,5/0,5 m</t>
  </si>
  <si>
    <t>27,6+5,5   opláštění potrubí</t>
  </si>
  <si>
    <t>Předstěna SDK,tl.50mm,1x ocel.kce CD,1xDFRI 12,5mm</t>
  </si>
  <si>
    <t>8,5*2   DS2</t>
  </si>
  <si>
    <t>Příplatek k příčce sádrokarton. za desku tl. 15 mm</t>
  </si>
  <si>
    <t>17   DS2</t>
  </si>
  <si>
    <t>Revizní dvířka do SDK podhledu, 500x500 mm typ SP, požární odolnost EI 30</t>
  </si>
  <si>
    <t>1   V1</t>
  </si>
  <si>
    <t>Položka obsahuje prořezání otvoru, osazení a dodávku rámu s dvířky včetně prošroubování a tmelení.</t>
  </si>
  <si>
    <t>Stropy a stropní konstrukce (pro pozemní stavby)</t>
  </si>
  <si>
    <t>Osazení válcovaných nosníků ve stropech do č. 12</t>
  </si>
  <si>
    <t>1,75*2*0,0104   stáv.šachta</t>
  </si>
  <si>
    <t>Tyč průřezu IPE 120, střední, jakost oceli S235</t>
  </si>
  <si>
    <t>1,75*2*0,0104</t>
  </si>
  <si>
    <t>;ztratné 8%; 0,00288</t>
  </si>
  <si>
    <t>Bednění stropů plech pozink. vlna 50 mm tl. 1,0 mm</t>
  </si>
  <si>
    <t>1,75*1,5   stáv.šachta</t>
  </si>
  <si>
    <t>Stropy deskové ze železobetonu C 20/25</t>
  </si>
  <si>
    <t>(7,75*11,35-2,5*1,2)*0,095</t>
  </si>
  <si>
    <t>(7,75*11,35-2,5*1,2)</t>
  </si>
  <si>
    <t>Osazení válcovaných nosníků ve stropech č. 14 - 22</t>
  </si>
  <si>
    <t>0,0188*(7,9*8+1,3+1,75+2,5)</t>
  </si>
  <si>
    <t>2,75*7*0,0129</t>
  </si>
  <si>
    <t>Tyč průřezu IPE 180, hrubé, jakost oceli S235</t>
  </si>
  <si>
    <t>;ztratné 8%; 0,10344</t>
  </si>
  <si>
    <t>;ztratné 8%; 0,01984</t>
  </si>
  <si>
    <t>Výztuž stropů svařovanou sítí</t>
  </si>
  <si>
    <t>(7,75*11,35-2,5*1,2)*0,00135   síť 4/150</t>
  </si>
  <si>
    <t>Podhledy SDK, kovová.kce CD. 1x deska RF 12,5 mm</t>
  </si>
  <si>
    <t>223,3   SK2 1.NP</t>
  </si>
  <si>
    <t>7,8+35,3+19,5+16,6   SK2 2.NP</t>
  </si>
  <si>
    <t>Podhled sádrokartonový na zavěšenou ocel. konstr. desky GKF tl. 12,5 mm, bez izolace</t>
  </si>
  <si>
    <t>13,9+29+17   SK4</t>
  </si>
  <si>
    <t>Příplatek k podhledu sádrokart. za tl. desek 15 mm</t>
  </si>
  <si>
    <t>59,9</t>
  </si>
  <si>
    <t>Podhledy SDK, kovová.kce CD. 1x deska RFI 15 mm</t>
  </si>
  <si>
    <t>18,7   SK1</t>
  </si>
  <si>
    <t>Podhledy SDK, kovová.kce CD. 1x deska RFI 12,5 mm</t>
  </si>
  <si>
    <t>4,6   SK3</t>
  </si>
  <si>
    <t>Věnec vnitřní zeď tl.240, tl.stropu 210 mm</t>
  </si>
  <si>
    <t>(5,6+2,45+3,775+5+3,55)</t>
  </si>
  <si>
    <t>Ztužující pásy a věnce z betonu železového C 20/25</t>
  </si>
  <si>
    <t>(5,2+4,95)*0,2*0,175   2.NP</t>
  </si>
  <si>
    <t>(0,95+0,915+7,565+4,595+4,7+1,99*2+3,175+1,7)*0,125*0,15   2.NP</t>
  </si>
  <si>
    <t>Bednění ztužujících věnců, obě strany - zřízení</t>
  </si>
  <si>
    <t>(5,2+4,95)*0,2*2   2.NP</t>
  </si>
  <si>
    <t>(0,95+0,915+7,565+4,595+4,7+1,99*2+3,175+1,7)*2*0,15   2.NP</t>
  </si>
  <si>
    <t>Bednění ztužujících věnců, obě strany - odstranění</t>
  </si>
  <si>
    <t>12,334</t>
  </si>
  <si>
    <t>Výztuž ztužujících pásů a věnců z oceli 10505(R)</t>
  </si>
  <si>
    <t>0,2554</t>
  </si>
  <si>
    <t>Nosné svary stropní konstr. vodorovné tl. do 10 mm</t>
  </si>
  <si>
    <t>0,18*7</t>
  </si>
  <si>
    <t>Zazdívka zhlaví válcovaných nosníků výšky do 30cm</t>
  </si>
  <si>
    <t>Schodiště</t>
  </si>
  <si>
    <t>Schodiště z oceli včetně zábradlí a nátěrů</t>
  </si>
  <si>
    <t>5   Z03, Z04, Z05</t>
  </si>
  <si>
    <t>Podkladní vrstvy komunikací a zpevněných ploch</t>
  </si>
  <si>
    <t>Podklad ze štěrkodrti po zhutnění tloušťky 15 cm</t>
  </si>
  <si>
    <t>(9,15+5,5+6,8)*0,5   TU1</t>
  </si>
  <si>
    <t>Podklad z mechanicky zpevněného kameniva tl. 17 cm</t>
  </si>
  <si>
    <t>Kryty štěrkových a živičných pozemních komunikací a zpevněných ploch</t>
  </si>
  <si>
    <t>Komunikace s asfaltobeton. krytem D2-N-3-CH-PIII</t>
  </si>
  <si>
    <t>7,85</t>
  </si>
  <si>
    <t>Doplnění po výsypce</t>
  </si>
  <si>
    <t>Dlažby a předlažby pozemních komunikací a zpevněných ploch</t>
  </si>
  <si>
    <t>Kladení dlaždic kom.pro pěší, lože z kameniva těž. včetně dlaždic betonových 50/50/6 cm</t>
  </si>
  <si>
    <t>Úprava povrchů vnitřní</t>
  </si>
  <si>
    <t>Zakrývání výplní vnitřních otvorů</t>
  </si>
  <si>
    <t>2,38*1,47*11+0,9*2,2*2+2,3*2,5</t>
  </si>
  <si>
    <t>Omítka stěn vnitřní vápenocementová štuková montáž a demontáž pomocného lešení  DU1</t>
  </si>
  <si>
    <t>(11,3+16,6+11+20,1+5,2+5+5,9+5,1)*2,54+1,2*1,84*2+1,18*2-(0,9*1,97*6+0,8*1,97*2+0,7*1,97*4)   1.NP</t>
  </si>
  <si>
    <t>(20,9+12,4+20+16,9+4,6+6,43)*2,64-(0,8*1,97*6+0,7*1,97*4)   2.NP</t>
  </si>
  <si>
    <t>0,48*0,48+(0,686+0,16)*2,02+2,37*1,22   1.NP</t>
  </si>
  <si>
    <t>2,37*1,34*6+1,98*0,9   2.NP</t>
  </si>
  <si>
    <t>-(67,786+16,253);obklady</t>
  </si>
  <si>
    <t>Omítka stěn vnitřní vápenocementová hladká montáž a demontáž pomocného lešení  DU2</t>
  </si>
  <si>
    <t>67,786+16,253</t>
  </si>
  <si>
    <t>Příplatek za zabudované omítníky v ploše stěn</t>
  </si>
  <si>
    <t>333,032+83,289</t>
  </si>
  <si>
    <t>Příplatek za zabudované rohovníky</t>
  </si>
  <si>
    <t>2,54*12+2,64*4</t>
  </si>
  <si>
    <t>Oprava vápen.omítek stěn do 30 % pl. - hladkých</t>
  </si>
  <si>
    <t>(27,6*2+11,35*2)*6,1-(2,37*1,47*7+1,12*2,31*2+2,52*2,61+0,48*0,48*2+0,9*1,97)   DU3</t>
  </si>
  <si>
    <t>Montáž výztužné sítě (perlinky) do stěrky-stěny včetně výztužné sítě a stěrkového tmelu</t>
  </si>
  <si>
    <t>Štuk na stěnách vnitřní tloušťka vrstvy 4 mm, ručně</t>
  </si>
  <si>
    <t>Omítkový sanační systém, 4vrst.</t>
  </si>
  <si>
    <t>27,6*2   DU4</t>
  </si>
  <si>
    <t>Hmoty pro injektáž nízkotlakovou, křemičitan sodný</t>
  </si>
  <si>
    <t>55,2*0,1</t>
  </si>
  <si>
    <t>nátěr, spotřeba se upřesní dle nasákavosti zdiva</t>
  </si>
  <si>
    <t>Montáž dilatační lišty</t>
  </si>
  <si>
    <t xml:space="preserve"> žárově pozinkovaný plech povrchově chráněný vrstvou měkčeného PVC tabule plech. tl. 0,6  1000 x 2000 mm</t>
  </si>
  <si>
    <t>10*0,12   E8</t>
  </si>
  <si>
    <t>;ztratné 8%; 0,096</t>
  </si>
  <si>
    <t>Začišťovací okenní lišta pro omítku tl. 9 mm</t>
  </si>
  <si>
    <t>(2,38+1,47*2)*11+(0,9+2,2*2)*2+(2,3+2,5*2)</t>
  </si>
  <si>
    <t>Úprava povrchů vnější</t>
  </si>
  <si>
    <t>Zakrývání výplní vnějších otvorů z lešení</t>
  </si>
  <si>
    <t>Očištění zdí a valů před opravou, ručně</t>
  </si>
  <si>
    <t>2,04+0,3*2+1,6+2,53</t>
  </si>
  <si>
    <t>191+27,65+3,32*(4,5+4,4)+2,6*19,5-48,195</t>
  </si>
  <si>
    <t>Oprava vnější omítky hladké stěn,sl.II,do 20 %,SMS</t>
  </si>
  <si>
    <t>Zatepl.syst., fasáda, miner.desky PV 160 mm s omítkou Silikon</t>
  </si>
  <si>
    <t>Zateplovací systém, sokl, XPS tl. 140 mm s mozaikovou omítkou 5,5 kg/m2</t>
  </si>
  <si>
    <t>Zateplovací systém, sokl, XPS tl. 140 mm zakončený stěrkou s výztužnou tkaninou</t>
  </si>
  <si>
    <t>28,35*0,3   OP3a</t>
  </si>
  <si>
    <t>Povrchová úprava ostění KZS s omítkou Silikon</t>
  </si>
  <si>
    <t>((2,38+1,47*2)*11+(0,9+2,2*2)*2+(2,3+2,5*2))*0,26</t>
  </si>
  <si>
    <t>Izolace tepelná stěn</t>
  </si>
  <si>
    <t>((2,38+1,47*2)*11+(0,9+2,2*2)*2+(2,3+2,5*2))*0,26   ostění</t>
  </si>
  <si>
    <t>5,464*6,79-2,37*1,47*2   pilastr</t>
  </si>
  <si>
    <t>Deska izolační fasádní z fenolické pěny 1200x400x 40mm</t>
  </si>
  <si>
    <t>19,869</t>
  </si>
  <si>
    <t>;ztratné 5%; 0,99345</t>
  </si>
  <si>
    <t>Deska fasádní minerální vlákno-podélné tl. 140 mm</t>
  </si>
  <si>
    <t>30,133</t>
  </si>
  <si>
    <t>;ztratné 5%; 1,50665</t>
  </si>
  <si>
    <t>Začišťovací okenní lišta pro omítku tl. 15 mm</t>
  </si>
  <si>
    <t>Soklová lišta plast KZS tl. 140 mm</t>
  </si>
  <si>
    <t>12,7   E4</t>
  </si>
  <si>
    <t>Montáž okapního soklového profilu</t>
  </si>
  <si>
    <t>12,7   E3</t>
  </si>
  <si>
    <t>Okapnička k soklovému profilu se síťovinou l=2,5 m</t>
  </si>
  <si>
    <t>;ztratné 7%; 0,35</t>
  </si>
  <si>
    <t>Doplňky zatepl. systémů, podparapetní lišta s tkan</t>
  </si>
  <si>
    <t>8,36   E5</t>
  </si>
  <si>
    <t>Profil připojovací parapetní ETICS, l=2000 mm</t>
  </si>
  <si>
    <t>8,36</t>
  </si>
  <si>
    <t>;ztratné 7%; 0,5852</t>
  </si>
  <si>
    <t>Profil parapetní spojovací SPP plast dl. 2 m</t>
  </si>
  <si>
    <t>-8,36</t>
  </si>
  <si>
    <t>;ztratné 7%; -0,5852</t>
  </si>
  <si>
    <t>odpočet materálu započteného v položce</t>
  </si>
  <si>
    <t>Podlahy a podlahové konstrukce</t>
  </si>
  <si>
    <t>Samonivelační polymercementová stěrka, ruč.zpracování tl.5 mm 40 MPa</t>
  </si>
  <si>
    <t>29+17   P1 - vyspravení pod izolaci</t>
  </si>
  <si>
    <t>35,3+19,5+16,6   P2 - vyspravení pod izolaci</t>
  </si>
  <si>
    <t>Mazanina betonová tl. 12 - 24 cm B 30 (C 25/30) vyztužená ocelovými vlákny 30 kg/m3</t>
  </si>
  <si>
    <t>223,3*0,15   LB1</t>
  </si>
  <si>
    <t>Povrchový vsyp na betonové podlahy strojně hlazený</t>
  </si>
  <si>
    <t>223,3</t>
  </si>
  <si>
    <t>Řezání dilatační spáry hl. 0-50 mm, železobeton</t>
  </si>
  <si>
    <t>19,85*2+11,35*4</t>
  </si>
  <si>
    <t>Zaplnění dilatačních spár mazanin, šířka 10 mm trvale pružným tmelem</t>
  </si>
  <si>
    <t>85,1</t>
  </si>
  <si>
    <t>Mazanina betonová tl. 8 - 12 cm C 20/25</t>
  </si>
  <si>
    <t>32,6*0,095   KDI1</t>
  </si>
  <si>
    <t>(29+17)*0,1</t>
  </si>
  <si>
    <t>Příplatek za stržení povrchu mazaniny tl. 12 cm</t>
  </si>
  <si>
    <t>7,697</t>
  </si>
  <si>
    <t>Příplatek za konečnou úpravu mazanin tl. 12 cm</t>
  </si>
  <si>
    <t>Výztuž mazanin svařovanou sítí průměr drátu  4,0, oka 100/100 mm</t>
  </si>
  <si>
    <t>32,6*0,001999   KDI1</t>
  </si>
  <si>
    <t>(29+17)*0,001999   P1</t>
  </si>
  <si>
    <t>Okapový chodník - textilie proti prorůstání 45g/m2</t>
  </si>
  <si>
    <t>(9,15+5,5+6,8)*0,5   OP3a a TU1</t>
  </si>
  <si>
    <t>Obrubník zahradní výšky 250 mm, šedý</t>
  </si>
  <si>
    <t>(9,15+5,5+4+1,5)   OP3a a TU1</t>
  </si>
  <si>
    <t>Mazanina betonová tl. 12 - 24 cm C 35/45</t>
  </si>
  <si>
    <t>(1,675*1,02+2,79*1,02+1,67*1,02)*0,16   TU3</t>
  </si>
  <si>
    <t>Příplatek za stržení povrchu mazaniny tl. 24 cm</t>
  </si>
  <si>
    <t>1,001</t>
  </si>
  <si>
    <t>(1,675*1,02+2,79*1,02+1,67*1,02)*0,001999   TU3</t>
  </si>
  <si>
    <t>Broušení betonových povrchů do tl. 5 mm</t>
  </si>
  <si>
    <t>223,3   LB1</t>
  </si>
  <si>
    <t>Výplně otvorů</t>
  </si>
  <si>
    <t>Osazení parapet.desek plast. a lamin. š.včetně dodávky plastové parapetní desky š. 250 mm</t>
  </si>
  <si>
    <t>2,37*11</t>
  </si>
  <si>
    <t>Osazení parapet.desek plast. a lamin.včetně dodávky plastové parapetní desky š. 150 mm</t>
  </si>
  <si>
    <t>1,5*2   P03 - šířka pouze 100 mm</t>
  </si>
  <si>
    <t>Osazení zárubní dveřních ocelových, pl. do 2,5 m2 včetně dodávky zárubně  70 x 197 x 11 cm</t>
  </si>
  <si>
    <t>Osazení zárubní dveřních ocelových, pl. do 2,5 m2 včetně dodávky zárubně  80 x 197 x 11 cm</t>
  </si>
  <si>
    <t>Osazení zárubní dveřních ocelových, pl. do 2,5 m2 včetně dodávky zárubně  90 x 197 x 11 cm</t>
  </si>
  <si>
    <t>Izolace proti vodě</t>
  </si>
  <si>
    <t>Odstr.izolace proti vlhk.vodor. pásy přitav.,2vrst</t>
  </si>
  <si>
    <t>11,2*27,6   stáv.podlaha</t>
  </si>
  <si>
    <t>Odvoz suti a vybour. hmot na skládku do 1 km</t>
  </si>
  <si>
    <t>Příplatek k odvozu za každý další 1 km</t>
  </si>
  <si>
    <t>Poplatek za skládku suti - asfaltové pásy</t>
  </si>
  <si>
    <t>Izolace proti vlhkosti vodor. nátěr ALP za studena 1x nátěr - včetně dodávky penetračního laku ALP</t>
  </si>
  <si>
    <t>1,1*1,3   šachta</t>
  </si>
  <si>
    <t>Izolace proti vlhkosti svis. nátěr ALP, za studena</t>
  </si>
  <si>
    <t>(1,1+1,3)*2*1,075   šachta</t>
  </si>
  <si>
    <t>Izolace proti vlhk. vodorovná pásy přitavením 2x včetně dod.</t>
  </si>
  <si>
    <t>Izolace proti vlhkosti svislá pásy přitavením 2 vrstvy - včetně dodávky</t>
  </si>
  <si>
    <t>2,04+0,3*2+1,6+2,53   OP3</t>
  </si>
  <si>
    <t>Izolace proti zem.vlhkosti,podklad.textilie,svislá včetně dodávky textílie, 300 g/m2</t>
  </si>
  <si>
    <t>8,505   OP3a</t>
  </si>
  <si>
    <t>Hydroizolační povlak - nátěr nebo stěrka</t>
  </si>
  <si>
    <t>32,6   KDI1</t>
  </si>
  <si>
    <t>Přesun hmot pro izolace proti vodě, výšky do 12 m</t>
  </si>
  <si>
    <t>Izolace střech (živičné krytiny)</t>
  </si>
  <si>
    <t>Povlaková krytina střech do 10°, za studena ALP 1 x nátěr - včetně dodávky ALP</t>
  </si>
  <si>
    <t>12,4*27,9*1,5   50% na prohyby plechu</t>
  </si>
  <si>
    <t>Povlaková krytina střech do 10°, NAIP bodově 1 vrstva - včetně dodávky ST1</t>
  </si>
  <si>
    <t>Povlaková krytina střech do 10°, NAIP přitavením 2x - vč. dod.</t>
  </si>
  <si>
    <t>12,4*27,9+12,4*(0,25+0,35)*2   ST1</t>
  </si>
  <si>
    <t>Přesun hmot pro povlakové krytiny, výšky do 12 m</t>
  </si>
  <si>
    <t>Izolace tepelné</t>
  </si>
  <si>
    <t>Tepelná izolace - pásek podél stěn včetně dodávky</t>
  </si>
  <si>
    <t>(19,85+11,35)*2   LB1</t>
  </si>
  <si>
    <t>20,8+21,3+5,9+5,1   KDI1</t>
  </si>
  <si>
    <t>25,3+20,25   P1</t>
  </si>
  <si>
    <t>Izolace tepelná podlah na sucho, jednovrstvá</t>
  </si>
  <si>
    <t>Polystyren extrudovaný XPS</t>
  </si>
  <si>
    <t>223,3*0,08</t>
  </si>
  <si>
    <t>;ztratné 5%; 0,8932</t>
  </si>
  <si>
    <t>Položení izolační fólie včetně dodávky fólie PE</t>
  </si>
  <si>
    <t>223,3+78,6</t>
  </si>
  <si>
    <t>Izolace tepelná podlah na sucho, dvouvrstvá</t>
  </si>
  <si>
    <t>13,9+18,7   KDI1</t>
  </si>
  <si>
    <t>29+17   P1</t>
  </si>
  <si>
    <t>Deska izolační polystyrén samozhášivý EPS 150</t>
  </si>
  <si>
    <t>78,6*0,06*2</t>
  </si>
  <si>
    <t>;ztratné 5%; 0,4716</t>
  </si>
  <si>
    <t>Izolace tepelná střech na pruhy lepidla, 1vrstvá</t>
  </si>
  <si>
    <t>12,4*27,9   ST1</t>
  </si>
  <si>
    <t>Deska střešní těžká 1000x600x220 mm</t>
  </si>
  <si>
    <t>345,96</t>
  </si>
  <si>
    <t>;ztratné 5%; 17,298</t>
  </si>
  <si>
    <t>6,258*0,1</t>
  </si>
  <si>
    <t>;ztratné 5%; 0,0313</t>
  </si>
  <si>
    <t>Přesun hmot pro izolace tepelné, výšky do 12 m</t>
  </si>
  <si>
    <t>Vnitřní kanalizace</t>
  </si>
  <si>
    <t>Oprava - propojení dosavadního potrubí PVC D 200</t>
  </si>
  <si>
    <t>Potrubí KG svodné (ležaté) v zemi D 110 x 3,2 mm</t>
  </si>
  <si>
    <t>Potrubí KG svodné (ležaté) v zemi D 125 x 3,2 mm</t>
  </si>
  <si>
    <t>Potrubí KG svodné (ležaté) v zemi D 160 x 4,0 mm</t>
  </si>
  <si>
    <t>Potrubí KG svodné (ležaté) v zemi D 200 x 4,9 mm</t>
  </si>
  <si>
    <t>Vpusť podlahová se zápachovou uzávěrkou</t>
  </si>
  <si>
    <t>Potrubí HT připojovací D 40 x 1,8 mm</t>
  </si>
  <si>
    <t>Potrubí HT připojovací D 50 x 1,8 mm</t>
  </si>
  <si>
    <t>Potrubí HT připojovací D 75 x 1,9 mm</t>
  </si>
  <si>
    <t>Potrubí HT připojovací D 110 x 2,7 mm</t>
  </si>
  <si>
    <t>Potrubí HT odpadní svislé D 50 x 1,8 mm</t>
  </si>
  <si>
    <t>Potrubí HT odpadní svislé D 75 x 1,9 mm</t>
  </si>
  <si>
    <t>Potrubí HT odpadní svislé D 110 x 2,7 mm</t>
  </si>
  <si>
    <t>Vyvedení odpadních výpustek D 32 x 1,8</t>
  </si>
  <si>
    <t>Vyvedení odpadních výpustek D 50 x 1,8</t>
  </si>
  <si>
    <t>Vyvedení odpadních výpustek D 110 x 2,3</t>
  </si>
  <si>
    <t>Kus prodlužovací PP HL65H s živičným pásem</t>
  </si>
  <si>
    <t>Nástavec větrací z PVC D 110 mm, délka 930 mm</t>
  </si>
  <si>
    <t>Zkouška těsnosti kanalizace vodou DN 125</t>
  </si>
  <si>
    <t>Zkouška těsnosti kanalizace vodou DN 200</t>
  </si>
  <si>
    <t>Zkouška těsnosti kanalizace kouřem DN 300</t>
  </si>
  <si>
    <t>Vybourání kanalizačního potrubí DN do 200 mm</t>
  </si>
  <si>
    <t>Přesun vybouraných hmot - kanalizace, H 6 - 12 m</t>
  </si>
  <si>
    <t>Proplach dešťové kanalizace vč. provedení kontroly stavu pomocí kamery (3 svody)</t>
  </si>
  <si>
    <t>Případná rezerva na opravu, přepojení dešťového svodu z kotelny</t>
  </si>
  <si>
    <t>Vnitřní vodovod</t>
  </si>
  <si>
    <t>Oprava potrubí z PE, spojka přímá,vně.závit 40x5/4</t>
  </si>
  <si>
    <t>Potrubí z PPR, teplá, D 20x3,4 mm, vč. zed. výpom.</t>
  </si>
  <si>
    <t>Potrubí z PPR, teplá, D 25x4,2 mm, vč. zed. výpom.</t>
  </si>
  <si>
    <t>Potrubí z PPR, teplá, D 32x5,4 mm, vč. zed. výpom.</t>
  </si>
  <si>
    <t>Propojení plastového potrubí polyf. D 40 mm</t>
  </si>
  <si>
    <t>Izolace návleková 22/tl. stěny 6 mm</t>
  </si>
  <si>
    <t>Izolace návleková 25/tl. stěny 6 mm</t>
  </si>
  <si>
    <t>Izolace návleková 35/tl. stěny 6 mm</t>
  </si>
  <si>
    <t>Izolace návleková  32/tl. stěny 30 mm</t>
  </si>
  <si>
    <t>Izolace návleková 40/tl. stěny 13 mm</t>
  </si>
  <si>
    <t>Vyvedení a upevnění výpustek DN 15</t>
  </si>
  <si>
    <t>Vyvedení a upevnění výpustek DN 25</t>
  </si>
  <si>
    <t>Potrubí z trub.závit.pozink.svařovan. 11343,DN 32</t>
  </si>
  <si>
    <t>Kohout kulový s vypouštěním, DN 15</t>
  </si>
  <si>
    <t>Kohout kulový s vypouštěním, DN 25</t>
  </si>
  <si>
    <t>Kohout kulový s vypouštěním, DN 32</t>
  </si>
  <si>
    <t>Klapka zpětná,2xvnitřní závit DN 25</t>
  </si>
  <si>
    <t>Klapka zpětná,2xvnitřní závit  DN 15</t>
  </si>
  <si>
    <t>Skříň hydrantová s výzbrojí 25 (konopné hadice)</t>
  </si>
  <si>
    <t>Tlaková zkouška vodovodního potrubí DN 40</t>
  </si>
  <si>
    <t>Tlaková zkouška vodovodního potrubí DN 32</t>
  </si>
  <si>
    <t>Proplach a dezinfekce vodovod.potrubí DN 80</t>
  </si>
  <si>
    <t>Montáž vodovodních armatur 3závity, G 1/2</t>
  </si>
  <si>
    <t>Termostatický směšovač pro 4 až 8 odběných míst, chrom</t>
  </si>
  <si>
    <t>Klozet kombi,nádrž s armat.odpad vodor, bílý</t>
  </si>
  <si>
    <t>Umyvadlo na šrouby  55 x 42 cm</t>
  </si>
  <si>
    <t>Dřez keramický  60 x 50 cm, bílý</t>
  </si>
  <si>
    <t>Montáž pisoárového záchodku bez nádrže</t>
  </si>
  <si>
    <t>Pisoár nerez antivandalový</t>
  </si>
  <si>
    <t>Montáž umyvadel na konzoly</t>
  </si>
  <si>
    <t>Umyvadlo nerez antivandal</t>
  </si>
  <si>
    <t>Baterie umyvadlová stoján. ruční, bez otvír.odpadu</t>
  </si>
  <si>
    <t>Baterie dřezová stojánková ruční, bez otvír.odpadu</t>
  </si>
  <si>
    <t>Baterie umyvadlová nástěnná ruční antivandal</t>
  </si>
  <si>
    <t>Baterie dřezová nástěnná ruční antivandal</t>
  </si>
  <si>
    <t>Sprchová hlavice</t>
  </si>
  <si>
    <t>Montáž držáku sprchy</t>
  </si>
  <si>
    <t>Montáž klozetových mís kombinovaných</t>
  </si>
  <si>
    <t>WC nerez SLWN 06 na podlahu antivandalové</t>
  </si>
  <si>
    <t>Ventil pojistný TE 1847 DN 20</t>
  </si>
  <si>
    <t>Ventil rohový bez přípoj. trubičky TE 66 G 1/2</t>
  </si>
  <si>
    <t>Požárně ochranná manžeta hl. 60 mm, EI 90, D 50 mm</t>
  </si>
  <si>
    <t>Strojovny</t>
  </si>
  <si>
    <t>Montáž ohříváků vody stojat.PN 0,6-0,6,do 1000 l</t>
  </si>
  <si>
    <t>Ohřívač TV ,obj.800 l</t>
  </si>
  <si>
    <t>Čerpadlo oběhové DN 25 800 kg/hod  2,5 m.v.s.</t>
  </si>
  <si>
    <t>Čerpadlo oběhové nerez, bronz DN 15</t>
  </si>
  <si>
    <t>Nádoby expanzní tlak.s memb.PN 1,0 pitná voda</t>
  </si>
  <si>
    <t>Vypuštění vody z potrubí o obsahu do 10000 l</t>
  </si>
  <si>
    <t>Přesun hmot pro strojovny, výšky do 12 m</t>
  </si>
  <si>
    <t>Systém MaR komplet</t>
  </si>
  <si>
    <t>Rozvod potrubí</t>
  </si>
  <si>
    <t>Zazdívka rýh, potrubí, kapes cihlami tl. 14 cm</t>
  </si>
  <si>
    <t>Izolace návleková  tl. stěny 25 mm</t>
  </si>
  <si>
    <t>Potrubí závit. běžné svařované nízkotlak. DN 10</t>
  </si>
  <si>
    <t>Potrubí závit. běžné svařované nízkotlak. DN 15</t>
  </si>
  <si>
    <t>Potrubí závit. běžné svařované nízkotlak. DN 20</t>
  </si>
  <si>
    <t>Potrubí závit. běžné svařované nízkotlak. DN 25</t>
  </si>
  <si>
    <t>Příplatek za zhotovení přípojky DN 10</t>
  </si>
  <si>
    <t>Příplatek za zhotovení přípojky DN 25</t>
  </si>
  <si>
    <t>Tlaková zkouška potrubí  DN 32</t>
  </si>
  <si>
    <t>Manžety prostupové pro trubky do DN 20</t>
  </si>
  <si>
    <t>Vysekání rýh ve zdi cihelné 15 x 30 cm</t>
  </si>
  <si>
    <t>Přesun hmot pro vnitřní vodovod, výšky do 12 m</t>
  </si>
  <si>
    <t>Přesun hmot pro rozvody potrubí, výšky do 24 m</t>
  </si>
  <si>
    <t>Přesun hmot pro haly zděné výšky do 20 m</t>
  </si>
  <si>
    <t>Armatury</t>
  </si>
  <si>
    <t>Přírubové spoje PN 1,6/I MPa, DN 150 včetně příruby závit 1"</t>
  </si>
  <si>
    <t>Rozpojení přírubového spoje DN 150</t>
  </si>
  <si>
    <t>Montáž armatur závitových,s 1závitem, G 3/8</t>
  </si>
  <si>
    <t>Ventily odvzdušňovací ot.těles , G 3/8"</t>
  </si>
  <si>
    <t>Hlavice ovládání ventilů termostat.</t>
  </si>
  <si>
    <t>Ventil term.rohový,vnitř.z. DN 10</t>
  </si>
  <si>
    <t>Kohout kulový,2xvnitřní záv. DN 25</t>
  </si>
  <si>
    <t>Kohout kulový,2xvnitřní záv. DN 20</t>
  </si>
  <si>
    <t>Šroubení reg.rohové,vnitř.z. DN 10</t>
  </si>
  <si>
    <t>Ventil směšovací třícestný, DN 25</t>
  </si>
  <si>
    <t>Ventil regulační,DN 25</t>
  </si>
  <si>
    <t>Filtr,velikost oka 0,4mm,vnitřní závity DN 25</t>
  </si>
  <si>
    <t>Přesun hmot pro armatury, výšky do 24 m</t>
  </si>
  <si>
    <t>Otopná tělesa</t>
  </si>
  <si>
    <t>Oprava-vyregulování ventilů s ručním ovládáním</t>
  </si>
  <si>
    <t>Tělesa otopná litinová +zákl.nátěr, 500/160</t>
  </si>
  <si>
    <t>Tělesa otopná litinová  3+zákl.nátěr, 500/70</t>
  </si>
  <si>
    <t>Tělesa otopná litinová  3+zákl.nátěr, 500/160</t>
  </si>
  <si>
    <t>Tělesa otopná litinová +zákl.nátěr, 500/70</t>
  </si>
  <si>
    <t>Tělesa otopná litinová +zákl.nátěr, 900/160</t>
  </si>
  <si>
    <t>Tlaková zkouška otopných těles litinových - vodou</t>
  </si>
  <si>
    <t>Odpojení a připojení otopných těles po nátěru</t>
  </si>
  <si>
    <t>Napuštění vody do otopného systému - bez kotle</t>
  </si>
  <si>
    <t>Nátěr syntetický litin. radiátorů 2x + 1x email</t>
  </si>
  <si>
    <t>Nátěr syntetický potrubí do DN 50 mm  Z + 2x</t>
  </si>
  <si>
    <t>Přesun hmot pro otopná tělesa, výšky do 12 m</t>
  </si>
  <si>
    <t>Dřevostavby</t>
  </si>
  <si>
    <t>Montáž otvorových výplní - dvířek, poklopů</t>
  </si>
  <si>
    <t>Dvířka revizní se zámkem bílá 400x400 mm</t>
  </si>
  <si>
    <t>1   V2</t>
  </si>
  <si>
    <t>Přesun hmot pro dřevostavby, výšky do 12 m</t>
  </si>
  <si>
    <t>Konstrukce klempířské</t>
  </si>
  <si>
    <t>Oplechování parapetů z Al plechů lak., rš 400 mm</t>
  </si>
  <si>
    <t>26,2   K01</t>
  </si>
  <si>
    <t>Žlab podokapní půlkruh.z Al plechu lak., rš 330 mm</t>
  </si>
  <si>
    <t>28,5   K02</t>
  </si>
  <si>
    <t>Okapový plech, šířka 230 mm - Al lakovaný plech</t>
  </si>
  <si>
    <t>28,5   K03</t>
  </si>
  <si>
    <t>Montáž oplechování zdí Al</t>
  </si>
  <si>
    <t>9,1   K04</t>
  </si>
  <si>
    <t>12,9   K05</t>
  </si>
  <si>
    <t>Plech Al svitkový lakovaný hladký 0,7x1000 mm</t>
  </si>
  <si>
    <t>9,1*0,3+12,9*0,6</t>
  </si>
  <si>
    <t>;ztratné 8%; 0,8376</t>
  </si>
  <si>
    <t>Montáž lemování zdí Al, živičná krytina</t>
  </si>
  <si>
    <t>12,7   K06</t>
  </si>
  <si>
    <t>12,7*0,5</t>
  </si>
  <si>
    <t>;ztratné 8%; 0,508</t>
  </si>
  <si>
    <t>Odpadní trouby kruhové z Al plechu lak., D 100 mm</t>
  </si>
  <si>
    <t>13,7   K07</t>
  </si>
  <si>
    <t>Montáž lemov. zdí Al, živičná krytina, krycí plech dilatace</t>
  </si>
  <si>
    <t>20,8   K08</t>
  </si>
  <si>
    <t>5,5   K10</t>
  </si>
  <si>
    <t>Plech Al svitkový Prefalz hladký 0,7x1000 mm</t>
  </si>
  <si>
    <t>(20,8+5,5)*0,25</t>
  </si>
  <si>
    <t>;ztratné 0,8%; 0,0526</t>
  </si>
  <si>
    <t>Montáž lemování zdí Al, živičná krytina  - okapnička u stříčky vstupu K09</t>
  </si>
  <si>
    <t>5,5+9</t>
  </si>
  <si>
    <t>14,5*0,25</t>
  </si>
  <si>
    <t>;ztratné 8%; 0,29</t>
  </si>
  <si>
    <t>Přesun hmot pro klempířské konstr., výšky do 12 m</t>
  </si>
  <si>
    <t>Konstrukce truhlářské</t>
  </si>
  <si>
    <t>Montáž oken plastových plochy do 4,50 m2</t>
  </si>
  <si>
    <t>Okno plastové trojkřídlé 240 x 150 cm OS+P+OS bílé</t>
  </si>
  <si>
    <t>11   W01, W02</t>
  </si>
  <si>
    <t>Montáž oken plastových plochy do 2,70 m2</t>
  </si>
  <si>
    <t>Okno plastové jednokřídlé 150 x 150 cm P bílé</t>
  </si>
  <si>
    <t>Montáž dveří do zárubně,otevíravých 1kř.do 0,8 m</t>
  </si>
  <si>
    <t>Dveře vnitřní hladké plné 1kř. 70x197 bílé</t>
  </si>
  <si>
    <t>Dveře vnitřní hladké plné 1kř. 80x197 bílé</t>
  </si>
  <si>
    <t>Montáž dveří do zárubně,otevíravých 1kř.nad 0,8 m</t>
  </si>
  <si>
    <t>Dveře vnitřní hladké plné 1kř. 90x197 bílé</t>
  </si>
  <si>
    <t>Montáž těsnění připoj. spáry, ostění, páska+páska</t>
  </si>
  <si>
    <t>98,59   E7</t>
  </si>
  <si>
    <t>Výplň spáry polyuretanovou pěnou není součástí položky.</t>
  </si>
  <si>
    <t>Seříznutí dveřních křídel  kompletizovaných</t>
  </si>
  <si>
    <t>Vyřezání otvoru v dveřních křídlech kompletizovan.</t>
  </si>
  <si>
    <t>Dveřní mřížka - 475mm x 80mm</t>
  </si>
  <si>
    <t>Dokování stavěče křídla</t>
  </si>
  <si>
    <t>Stavěč dveří s gum.podložkou</t>
  </si>
  <si>
    <t>Montáž kliky a štítku</t>
  </si>
  <si>
    <t>Dveřní kování  dle PD</t>
  </si>
  <si>
    <t>Kuchyňské linky dodávka a montáž linka 150 cm</t>
  </si>
  <si>
    <t>Kuchyňské linky dodávka a montáž linka 180 cm</t>
  </si>
  <si>
    <t>1   T01b linka 190mm</t>
  </si>
  <si>
    <t>Montáž vestavěné skříně 1křídlové šatní polic.</t>
  </si>
  <si>
    <t>40   T02</t>
  </si>
  <si>
    <t>včetně přikotvení k podlaze</t>
  </si>
  <si>
    <t>Skříň na šaty kovová A 10000 1800x300x500</t>
  </si>
  <si>
    <t>Sdružení dvou skříní bez mezistěny</t>
  </si>
  <si>
    <t>Přesun hmot pro truhlářské konstr., výšky do 12 m</t>
  </si>
  <si>
    <t>Konstrukce doplňkové stavební (zámečnické)</t>
  </si>
  <si>
    <t>Demontáž krytin střech z plechů, šroubovaných</t>
  </si>
  <si>
    <t>12,26*27,9</t>
  </si>
  <si>
    <t>Montáž krytiny střech, tvar. plechem, šroubováním</t>
  </si>
  <si>
    <t>Profil trapézový CB 55/250 x 1,00 mm, pozink.</t>
  </si>
  <si>
    <t>;ztratné 8%; 27,6768</t>
  </si>
  <si>
    <t>Dveře kovové jednokřídlové 110 x 197 cm - (112 x 231)  D01</t>
  </si>
  <si>
    <t>Montáž dveří kovových dvoukřídl.</t>
  </si>
  <si>
    <t>Montáž vrat otočných do ocel.zárubně, pl.do 9 m2</t>
  </si>
  <si>
    <t>Vrata ocelová 746616 270 x 270 s rámem zateplená  (252 x 261 cm) D02</t>
  </si>
  <si>
    <t>Dveře protipožární jednokřídlové 90 x 197 cm PB 30 minut</t>
  </si>
  <si>
    <t>Montáž mříží otvíravých</t>
  </si>
  <si>
    <t>0,7*2</t>
  </si>
  <si>
    <t>Mříž ocelová okenní zavírací</t>
  </si>
  <si>
    <t>1,4   Z08</t>
  </si>
  <si>
    <t>Výroba a montáž kov. atypických konstr. do 250 kg Z14</t>
  </si>
  <si>
    <t>31+38+55+68</t>
  </si>
  <si>
    <t>Plech hladký jakost 11375.1  12x1000x2000 mm</t>
  </si>
  <si>
    <t>0,15*0,27*11*0,096</t>
  </si>
  <si>
    <t>;ztratné 8%; 0,00344</t>
  </si>
  <si>
    <t>Plech hladký jakost 11375.1  8x1000x2000 mm</t>
  </si>
  <si>
    <t>(0,15*0,156*11+0,15*0,15*22)*0,064</t>
  </si>
  <si>
    <t>;ztratné 8%; 0,00384</t>
  </si>
  <si>
    <t>Plech hladký jakost 11375.1  5x1000x2000 mm</t>
  </si>
  <si>
    <t>(0,08+1*0,08)*11*0,04</t>
  </si>
  <si>
    <t>;ztratné 8%; 0,0056</t>
  </si>
  <si>
    <t>Plech hladký jakost 11375.1  15x1000x2000 mm</t>
  </si>
  <si>
    <t>(0,332+0,192*2)*0,12</t>
  </si>
  <si>
    <t>;ztratné 8%; 0,00688</t>
  </si>
  <si>
    <r>
      <t xml:space="preserve">Krycí list rozpočtu                                                              </t>
    </r>
    <r>
      <rPr>
        <sz val="12"/>
        <color indexed="8"/>
        <rFont val="Arial"/>
        <family val="2"/>
      </rPr>
      <t>Příloha č. 1 SOD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</si>
</sst>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0"/>
  </numFmts>
  <fonts count="4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56"/>
      <name val="Arial"/>
      <family val="0"/>
    </font>
    <font>
      <b/>
      <sz val="8"/>
      <color indexed="56"/>
      <name val="Arial"/>
      <family val="0"/>
    </font>
    <font>
      <sz val="8"/>
      <color indexed="61"/>
      <name val="Arial"/>
      <family val="0"/>
    </font>
    <font>
      <i/>
      <sz val="8"/>
      <color indexed="63"/>
      <name val="Arial"/>
      <family val="0"/>
    </font>
    <font>
      <i/>
      <sz val="8"/>
      <color indexed="60"/>
      <name val="Arial"/>
      <family val="0"/>
    </font>
    <font>
      <sz val="8"/>
      <color indexed="62"/>
      <name val="Arial"/>
      <family val="0"/>
    </font>
    <font>
      <b/>
      <sz val="22"/>
      <color indexed="8"/>
      <name val="Desyr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5" fillId="3" borderId="0" applyNumberFormat="0" applyBorder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18" borderId="6" applyNumberFormat="0" applyFont="0" applyAlignment="0" applyProtection="0"/>
    <xf numFmtId="43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313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6" fillId="24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6" fillId="24" borderId="0" xfId="0" applyNumberFormat="1" applyFont="1" applyFill="1" applyBorder="1" applyAlignment="1" applyProtection="1">
      <alignment horizontal="right" vertical="center"/>
      <protection/>
    </xf>
    <xf numFmtId="49" fontId="8" fillId="25" borderId="14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10" fillId="0" borderId="14" xfId="0" applyNumberFormat="1" applyFont="1" applyFill="1" applyBorder="1" applyAlignment="1" applyProtection="1">
      <alignment horizontal="right" vertical="center"/>
      <protection/>
    </xf>
    <xf numFmtId="49" fontId="10" fillId="0" borderId="14" xfId="0" applyNumberFormat="1" applyFont="1" applyFill="1" applyBorder="1" applyAlignment="1" applyProtection="1">
      <alignment horizontal="right" vertical="center"/>
      <protection/>
    </xf>
    <xf numFmtId="4" fontId="10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9" fillId="25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9" fontId="2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28" xfId="0" applyNumberFormat="1" applyFont="1" applyFill="1" applyBorder="1" applyAlignment="1" applyProtection="1">
      <alignment horizontal="right" vertical="center"/>
      <protection/>
    </xf>
    <xf numFmtId="4" fontId="2" fillId="0" borderId="28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13" fillId="0" borderId="12" xfId="0" applyNumberFormat="1" applyFont="1" applyFill="1" applyBorder="1" applyAlignment="1" applyProtection="1">
      <alignment vertical="center"/>
      <protection/>
    </xf>
    <xf numFmtId="49" fontId="14" fillId="0" borderId="29" xfId="0" applyNumberFormat="1" applyFont="1" applyFill="1" applyBorder="1" applyAlignment="1" applyProtection="1">
      <alignment horizontal="left" vertical="center"/>
      <protection/>
    </xf>
    <xf numFmtId="49" fontId="14" fillId="0" borderId="30" xfId="0" applyNumberFormat="1" applyFont="1" applyFill="1" applyBorder="1" applyAlignment="1" applyProtection="1">
      <alignment horizontal="left" vertical="center"/>
      <protection/>
    </xf>
    <xf numFmtId="49" fontId="14" fillId="0" borderId="30" xfId="0" applyNumberFormat="1" applyFont="1" applyFill="1" applyBorder="1" applyAlignment="1" applyProtection="1">
      <alignment horizontal="center" vertical="center"/>
      <protection/>
    </xf>
    <xf numFmtId="49" fontId="14" fillId="0" borderId="31" xfId="0" applyNumberFormat="1" applyFont="1" applyFill="1" applyBorder="1" applyAlignment="1" applyProtection="1">
      <alignment horizontal="center" vertical="center"/>
      <protection/>
    </xf>
    <xf numFmtId="49" fontId="14" fillId="0" borderId="32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49" fontId="13" fillId="0" borderId="33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/>
      <protection/>
    </xf>
    <xf numFmtId="49" fontId="14" fillId="0" borderId="36" xfId="0" applyNumberFormat="1" applyFont="1" applyFill="1" applyBorder="1" applyAlignment="1" applyProtection="1">
      <alignment horizontal="center" vertical="center"/>
      <protection/>
    </xf>
    <xf numFmtId="49" fontId="14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horizontal="center" vertical="center"/>
      <protection/>
    </xf>
    <xf numFmtId="49" fontId="14" fillId="0" borderId="38" xfId="0" applyNumberFormat="1" applyFont="1" applyFill="1" applyBorder="1" applyAlignment="1" applyProtection="1">
      <alignment horizontal="center" vertical="center"/>
      <protection/>
    </xf>
    <xf numFmtId="49" fontId="15" fillId="24" borderId="18" xfId="0" applyNumberFormat="1" applyFont="1" applyFill="1" applyBorder="1" applyAlignment="1" applyProtection="1">
      <alignment horizontal="left" vertical="center"/>
      <protection/>
    </xf>
    <xf numFmtId="49" fontId="16" fillId="24" borderId="18" xfId="0" applyNumberFormat="1" applyFont="1" applyFill="1" applyBorder="1" applyAlignment="1" applyProtection="1">
      <alignment horizontal="left" vertical="center"/>
      <protection/>
    </xf>
    <xf numFmtId="4" fontId="16" fillId="24" borderId="18" xfId="0" applyNumberFormat="1" applyFont="1" applyFill="1" applyBorder="1" applyAlignment="1" applyProtection="1">
      <alignment horizontal="right" vertical="center"/>
      <protection/>
    </xf>
    <xf numFmtId="49" fontId="16" fillId="24" borderId="18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166" fontId="17" fillId="0" borderId="0" xfId="0" applyNumberFormat="1" applyFont="1" applyFill="1" applyBorder="1" applyAlignment="1" applyProtection="1">
      <alignment horizontal="righ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166" fontId="18" fillId="0" borderId="0" xfId="0" applyNumberFormat="1" applyFont="1" applyFill="1" applyBorder="1" applyAlignment="1" applyProtection="1">
      <alignment horizontal="right" vertical="center"/>
      <protection/>
    </xf>
    <xf numFmtId="49" fontId="19" fillId="0" borderId="0" xfId="0" applyNumberFormat="1" applyFont="1" applyFill="1" applyBorder="1" applyAlignment="1" applyProtection="1">
      <alignment horizontal="right" vertical="top"/>
      <protection/>
    </xf>
    <xf numFmtId="49" fontId="15" fillId="24" borderId="0" xfId="0" applyNumberFormat="1" applyFont="1" applyFill="1" applyBorder="1" applyAlignment="1" applyProtection="1">
      <alignment horizontal="left" vertical="center"/>
      <protection/>
    </xf>
    <xf numFmtId="49" fontId="16" fillId="24" borderId="0" xfId="0" applyNumberFormat="1" applyFont="1" applyFill="1" applyBorder="1" applyAlignment="1" applyProtection="1">
      <alignment horizontal="left" vertical="center"/>
      <protection/>
    </xf>
    <xf numFmtId="4" fontId="16" fillId="24" borderId="0" xfId="0" applyNumberFormat="1" applyFont="1" applyFill="1" applyBorder="1" applyAlignment="1" applyProtection="1">
      <alignment horizontal="right" vertical="center"/>
      <protection/>
    </xf>
    <xf numFmtId="49" fontId="16" fillId="24" borderId="0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166" fontId="20" fillId="0" borderId="0" xfId="0" applyNumberFormat="1" applyFont="1" applyFill="1" applyBorder="1" applyAlignment="1" applyProtection="1">
      <alignment horizontal="right" vertical="center"/>
      <protection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166" fontId="18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0" fontId="40" fillId="0" borderId="0" xfId="47" applyFont="1" applyBorder="1">
      <alignment/>
      <protection/>
    </xf>
    <xf numFmtId="0" fontId="41" fillId="0" borderId="0" xfId="47" applyFont="1" applyBorder="1" applyAlignment="1">
      <alignment horizontal="center"/>
      <protection/>
    </xf>
    <xf numFmtId="0" fontId="41" fillId="0" borderId="0" xfId="47" applyFont="1" applyBorder="1" applyAlignment="1">
      <alignment/>
      <protection/>
    </xf>
    <xf numFmtId="0" fontId="41" fillId="0" borderId="0" xfId="47" applyFont="1" applyBorder="1" applyAlignment="1">
      <alignment horizontal="right"/>
      <protection/>
    </xf>
    <xf numFmtId="43" fontId="41" fillId="0" borderId="0" xfId="49" applyFont="1" applyBorder="1" applyAlignment="1">
      <alignment horizontal="right"/>
    </xf>
    <xf numFmtId="0" fontId="42" fillId="0" borderId="0" xfId="47" applyFont="1">
      <alignment/>
      <protection/>
    </xf>
    <xf numFmtId="0" fontId="43" fillId="0" borderId="0" xfId="47" applyFont="1" applyBorder="1">
      <alignment/>
      <protection/>
    </xf>
    <xf numFmtId="0" fontId="43" fillId="0" borderId="0" xfId="47" applyFont="1" applyBorder="1" applyAlignment="1">
      <alignment horizontal="center"/>
      <protection/>
    </xf>
    <xf numFmtId="0" fontId="43" fillId="0" borderId="0" xfId="47" applyFont="1" applyBorder="1" applyAlignment="1">
      <alignment/>
      <protection/>
    </xf>
    <xf numFmtId="0" fontId="43" fillId="0" borderId="0" xfId="47" applyFont="1" applyBorder="1" applyAlignment="1">
      <alignment horizontal="right"/>
      <protection/>
    </xf>
    <xf numFmtId="43" fontId="43" fillId="0" borderId="0" xfId="49" applyFont="1" applyBorder="1" applyAlignment="1">
      <alignment horizontal="right"/>
    </xf>
    <xf numFmtId="0" fontId="22" fillId="0" borderId="0" xfId="47">
      <alignment/>
      <protection/>
    </xf>
    <xf numFmtId="0" fontId="43" fillId="0" borderId="10" xfId="47" applyFont="1" applyBorder="1">
      <alignment/>
      <protection/>
    </xf>
    <xf numFmtId="0" fontId="43" fillId="0" borderId="10" xfId="47" applyFont="1" applyBorder="1" applyAlignment="1">
      <alignment horizontal="center"/>
      <protection/>
    </xf>
    <xf numFmtId="0" fontId="43" fillId="0" borderId="10" xfId="47" applyFont="1" applyBorder="1" applyAlignment="1">
      <alignment/>
      <protection/>
    </xf>
    <xf numFmtId="0" fontId="43" fillId="0" borderId="10" xfId="47" applyFont="1" applyBorder="1" applyAlignment="1">
      <alignment horizontal="right"/>
      <protection/>
    </xf>
    <xf numFmtId="43" fontId="43" fillId="0" borderId="10" xfId="49" applyFont="1" applyBorder="1" applyAlignment="1">
      <alignment horizontal="right"/>
    </xf>
    <xf numFmtId="0" fontId="22" fillId="0" borderId="10" xfId="47" applyBorder="1">
      <alignment/>
      <protection/>
    </xf>
    <xf numFmtId="0" fontId="44" fillId="0" borderId="0" xfId="47" applyFont="1">
      <alignment/>
      <protection/>
    </xf>
    <xf numFmtId="0" fontId="43" fillId="0" borderId="0" xfId="47" applyFont="1" applyAlignment="1">
      <alignment horizontal="center"/>
      <protection/>
    </xf>
    <xf numFmtId="0" fontId="43" fillId="0" borderId="0" xfId="47" applyFont="1" applyAlignment="1">
      <alignment/>
      <protection/>
    </xf>
    <xf numFmtId="0" fontId="43" fillId="0" borderId="0" xfId="47" applyFont="1" applyAlignment="1">
      <alignment horizontal="right"/>
      <protection/>
    </xf>
    <xf numFmtId="43" fontId="43" fillId="0" borderId="0" xfId="49" applyFont="1" applyAlignment="1">
      <alignment horizontal="right"/>
    </xf>
    <xf numFmtId="0" fontId="43" fillId="0" borderId="14" xfId="47" applyFont="1" applyBorder="1">
      <alignment/>
      <protection/>
    </xf>
    <xf numFmtId="0" fontId="43" fillId="0" borderId="14" xfId="47" applyFont="1" applyBorder="1" applyAlignment="1">
      <alignment horizontal="center"/>
      <protection/>
    </xf>
    <xf numFmtId="0" fontId="43" fillId="0" borderId="14" xfId="47" applyFont="1" applyBorder="1" applyAlignment="1">
      <alignment/>
      <protection/>
    </xf>
    <xf numFmtId="0" fontId="43" fillId="0" borderId="14" xfId="47" applyFont="1" applyBorder="1" applyAlignment="1">
      <alignment horizontal="right"/>
      <protection/>
    </xf>
    <xf numFmtId="43" fontId="43" fillId="0" borderId="14" xfId="49" applyFont="1" applyBorder="1" applyAlignment="1">
      <alignment horizontal="right"/>
    </xf>
    <xf numFmtId="1" fontId="43" fillId="0" borderId="0" xfId="47" applyNumberFormat="1" applyFont="1" applyBorder="1" applyAlignment="1" applyProtection="1">
      <alignment horizontal="right"/>
      <protection/>
    </xf>
    <xf numFmtId="2" fontId="43" fillId="0" borderId="0" xfId="49" applyNumberFormat="1" applyFont="1" applyBorder="1" applyAlignment="1">
      <alignment horizontal="right"/>
    </xf>
    <xf numFmtId="0" fontId="43" fillId="0" borderId="0" xfId="47" applyFont="1">
      <alignment/>
      <protection/>
    </xf>
    <xf numFmtId="0" fontId="43" fillId="0" borderId="0" xfId="47" applyNumberFormat="1" applyFont="1">
      <alignment/>
      <protection/>
    </xf>
    <xf numFmtId="2" fontId="43" fillId="0" borderId="0" xfId="47" applyNumberFormat="1" applyFont="1" applyAlignment="1" applyProtection="1">
      <alignment horizontal="right"/>
      <protection/>
    </xf>
    <xf numFmtId="44" fontId="43" fillId="0" borderId="0" xfId="49" applyNumberFormat="1" applyFont="1" applyAlignment="1">
      <alignment horizontal="right"/>
    </xf>
    <xf numFmtId="44" fontId="43" fillId="0" borderId="0" xfId="47" applyNumberFormat="1" applyFont="1" applyAlignment="1">
      <alignment horizontal="right"/>
      <protection/>
    </xf>
    <xf numFmtId="0" fontId="43" fillId="0" borderId="0" xfId="49" applyNumberFormat="1" applyFont="1" applyAlignment="1">
      <alignment/>
    </xf>
    <xf numFmtId="0" fontId="43" fillId="0" borderId="26" xfId="47" applyFont="1" applyBorder="1">
      <alignment/>
      <protection/>
    </xf>
    <xf numFmtId="0" fontId="43" fillId="0" borderId="26" xfId="47" applyFont="1" applyBorder="1" applyAlignment="1">
      <alignment horizontal="center"/>
      <protection/>
    </xf>
    <xf numFmtId="2" fontId="43" fillId="0" borderId="26" xfId="47" applyNumberFormat="1" applyFont="1" applyBorder="1" applyAlignment="1" applyProtection="1">
      <alignment horizontal="right"/>
      <protection/>
    </xf>
    <xf numFmtId="44" fontId="43" fillId="0" borderId="26" xfId="49" applyNumberFormat="1" applyFont="1" applyBorder="1" applyAlignment="1">
      <alignment horizontal="right"/>
    </xf>
    <xf numFmtId="44" fontId="43" fillId="0" borderId="26" xfId="47" applyNumberFormat="1" applyFont="1" applyBorder="1" applyAlignment="1">
      <alignment horizontal="right"/>
      <protection/>
    </xf>
    <xf numFmtId="0" fontId="22" fillId="0" borderId="0" xfId="47" applyAlignment="1">
      <alignment horizontal="center"/>
      <protection/>
    </xf>
    <xf numFmtId="0" fontId="22" fillId="0" borderId="10" xfId="47" applyBorder="1" applyAlignment="1">
      <alignment horizontal="center"/>
      <protection/>
    </xf>
    <xf numFmtId="9" fontId="43" fillId="0" borderId="10" xfId="47" applyNumberFormat="1" applyFont="1" applyBorder="1">
      <alignment/>
      <protection/>
    </xf>
    <xf numFmtId="2" fontId="43" fillId="0" borderId="10" xfId="49" applyNumberFormat="1" applyFont="1" applyBorder="1" applyAlignment="1">
      <alignment horizontal="right"/>
    </xf>
    <xf numFmtId="44" fontId="43" fillId="0" borderId="10" xfId="47" applyNumberFormat="1" applyFont="1" applyBorder="1" applyAlignment="1">
      <alignment horizontal="right"/>
      <protection/>
    </xf>
    <xf numFmtId="44" fontId="43" fillId="0" borderId="39" xfId="47" applyNumberFormat="1" applyFont="1" applyBorder="1" applyAlignment="1">
      <alignment horizontal="right"/>
      <protection/>
    </xf>
    <xf numFmtId="44" fontId="43" fillId="0" borderId="0" xfId="47" applyNumberFormat="1" applyFont="1" applyBorder="1" applyAlignment="1">
      <alignment horizontal="right"/>
      <protection/>
    </xf>
    <xf numFmtId="0" fontId="44" fillId="0" borderId="0" xfId="47" applyFont="1" applyAlignment="1">
      <alignment horizontal="center"/>
      <protection/>
    </xf>
    <xf numFmtId="2" fontId="43" fillId="0" borderId="0" xfId="47" applyNumberFormat="1" applyFont="1" applyBorder="1" applyAlignment="1" applyProtection="1">
      <alignment horizontal="right"/>
      <protection/>
    </xf>
    <xf numFmtId="44" fontId="43" fillId="0" borderId="0" xfId="49" applyNumberFormat="1" applyFont="1" applyBorder="1" applyAlignment="1">
      <alignment horizontal="right"/>
    </xf>
    <xf numFmtId="0" fontId="39" fillId="0" borderId="0" xfId="47" applyFont="1">
      <alignment/>
      <protection/>
    </xf>
    <xf numFmtId="8" fontId="43" fillId="0" borderId="0" xfId="47" applyNumberFormat="1" applyFont="1" applyAlignment="1">
      <alignment/>
      <protection/>
    </xf>
    <xf numFmtId="2" fontId="43" fillId="0" borderId="0" xfId="47" applyNumberFormat="1" applyFont="1" applyAlignment="1">
      <alignment/>
      <protection/>
    </xf>
    <xf numFmtId="2" fontId="43" fillId="0" borderId="0" xfId="47" applyNumberFormat="1" applyFont="1" applyAlignment="1">
      <alignment horizontal="right"/>
      <protection/>
    </xf>
    <xf numFmtId="8" fontId="43" fillId="0" borderId="0" xfId="49" applyNumberFormat="1" applyFont="1" applyAlignment="1">
      <alignment horizontal="right"/>
    </xf>
    <xf numFmtId="8" fontId="43" fillId="0" borderId="0" xfId="47" applyNumberFormat="1" applyFont="1" applyAlignment="1">
      <alignment horizontal="right"/>
      <protection/>
    </xf>
    <xf numFmtId="2" fontId="43" fillId="0" borderId="0" xfId="47" applyNumberFormat="1" applyFont="1" applyBorder="1" applyAlignment="1">
      <alignment/>
      <protection/>
    </xf>
    <xf numFmtId="2" fontId="43" fillId="0" borderId="0" xfId="47" applyNumberFormat="1" applyFont="1" applyBorder="1" applyAlignment="1">
      <alignment horizontal="right"/>
      <protection/>
    </xf>
    <xf numFmtId="2" fontId="43" fillId="0" borderId="26" xfId="47" applyNumberFormat="1" applyFont="1" applyBorder="1" applyAlignment="1">
      <alignment/>
      <protection/>
    </xf>
    <xf numFmtId="2" fontId="43" fillId="0" borderId="26" xfId="47" applyNumberFormat="1" applyFont="1" applyBorder="1" applyAlignment="1">
      <alignment horizontal="right"/>
      <protection/>
    </xf>
    <xf numFmtId="8" fontId="43" fillId="0" borderId="26" xfId="49" applyNumberFormat="1" applyFont="1" applyBorder="1" applyAlignment="1">
      <alignment horizontal="right"/>
    </xf>
    <xf numFmtId="0" fontId="45" fillId="0" borderId="0" xfId="47" applyFont="1">
      <alignment/>
      <protection/>
    </xf>
    <xf numFmtId="8" fontId="43" fillId="0" borderId="0" xfId="47" applyNumberFormat="1" applyFont="1" applyBorder="1" applyAlignment="1">
      <alignment/>
      <protection/>
    </xf>
    <xf numFmtId="8" fontId="43" fillId="0" borderId="10" xfId="47" applyNumberFormat="1" applyFont="1" applyBorder="1" applyAlignment="1">
      <alignment/>
      <protection/>
    </xf>
    <xf numFmtId="44" fontId="43" fillId="0" borderId="25" xfId="47" applyNumberFormat="1" applyFont="1" applyBorder="1" applyAlignment="1">
      <alignment horizontal="right"/>
      <protection/>
    </xf>
    <xf numFmtId="0" fontId="44" fillId="0" borderId="0" xfId="47" applyFont="1" applyBorder="1">
      <alignment/>
      <protection/>
    </xf>
    <xf numFmtId="43" fontId="43" fillId="0" borderId="26" xfId="49" applyFont="1" applyBorder="1" applyAlignment="1">
      <alignment horizontal="right"/>
    </xf>
    <xf numFmtId="0" fontId="43" fillId="0" borderId="26" xfId="47" applyFont="1" applyBorder="1" applyAlignment="1">
      <alignment horizontal="right"/>
      <protection/>
    </xf>
    <xf numFmtId="44" fontId="43" fillId="0" borderId="25" xfId="49" applyNumberFormat="1" applyFont="1" applyBorder="1" applyAlignment="1">
      <alignment horizontal="right"/>
    </xf>
    <xf numFmtId="9" fontId="43" fillId="0" borderId="10" xfId="47" applyNumberFormat="1" applyFont="1" applyBorder="1" applyAlignment="1">
      <alignment horizontal="center"/>
      <protection/>
    </xf>
    <xf numFmtId="0" fontId="44" fillId="0" borderId="25" xfId="47" applyFont="1" applyBorder="1">
      <alignment/>
      <protection/>
    </xf>
    <xf numFmtId="0" fontId="43" fillId="0" borderId="25" xfId="47" applyFont="1" applyBorder="1" applyAlignment="1">
      <alignment horizontal="center"/>
      <protection/>
    </xf>
    <xf numFmtId="0" fontId="43" fillId="0" borderId="25" xfId="47" applyFont="1" applyBorder="1">
      <alignment/>
      <protection/>
    </xf>
    <xf numFmtId="8" fontId="43" fillId="0" borderId="25" xfId="47" applyNumberFormat="1" applyFont="1" applyBorder="1" applyAlignment="1">
      <alignment/>
      <protection/>
    </xf>
    <xf numFmtId="0" fontId="43" fillId="0" borderId="25" xfId="47" applyFont="1" applyBorder="1" applyAlignment="1">
      <alignment horizontal="right"/>
      <protection/>
    </xf>
    <xf numFmtId="43" fontId="43" fillId="0" borderId="25" xfId="49" applyFont="1" applyBorder="1" applyAlignment="1">
      <alignment horizontal="right"/>
    </xf>
    <xf numFmtId="44" fontId="44" fillId="0" borderId="25" xfId="47" applyNumberFormat="1" applyFont="1" applyBorder="1" applyAlignment="1">
      <alignment horizontal="right"/>
      <protection/>
    </xf>
    <xf numFmtId="9" fontId="43" fillId="0" borderId="0" xfId="47" applyNumberFormat="1" applyFont="1" applyBorder="1" applyAlignment="1">
      <alignment horizontal="center"/>
      <protection/>
    </xf>
    <xf numFmtId="9" fontId="43" fillId="0" borderId="0" xfId="47" applyNumberFormat="1" applyFont="1" applyBorder="1">
      <alignment/>
      <protection/>
    </xf>
    <xf numFmtId="0" fontId="40" fillId="0" borderId="0" xfId="46" applyFont="1" applyBorder="1">
      <alignment/>
      <protection/>
    </xf>
    <xf numFmtId="0" fontId="41" fillId="0" borderId="0" xfId="46" applyFont="1" applyBorder="1" applyAlignment="1">
      <alignment horizontal="center"/>
      <protection/>
    </xf>
    <xf numFmtId="0" fontId="41" fillId="0" borderId="0" xfId="46" applyFont="1" applyBorder="1" applyAlignment="1">
      <alignment/>
      <protection/>
    </xf>
    <xf numFmtId="0" fontId="41" fillId="0" borderId="0" xfId="46" applyFont="1" applyBorder="1" applyAlignment="1">
      <alignment horizontal="right"/>
      <protection/>
    </xf>
    <xf numFmtId="0" fontId="42" fillId="0" borderId="0" xfId="46" applyFont="1">
      <alignment/>
      <protection/>
    </xf>
    <xf numFmtId="0" fontId="43" fillId="0" borderId="0" xfId="46" applyFont="1" applyBorder="1">
      <alignment/>
      <protection/>
    </xf>
    <xf numFmtId="0" fontId="43" fillId="0" borderId="0" xfId="46" applyFont="1" applyBorder="1" applyAlignment="1">
      <alignment horizontal="center"/>
      <protection/>
    </xf>
    <xf numFmtId="0" fontId="43" fillId="0" borderId="0" xfId="46" applyFont="1" applyBorder="1" applyAlignment="1">
      <alignment/>
      <protection/>
    </xf>
    <xf numFmtId="0" fontId="43" fillId="0" borderId="0" xfId="46" applyFont="1" applyBorder="1" applyAlignment="1">
      <alignment horizontal="right"/>
      <protection/>
    </xf>
    <xf numFmtId="0" fontId="22" fillId="0" borderId="0" xfId="46">
      <alignment/>
      <protection/>
    </xf>
    <xf numFmtId="0" fontId="43" fillId="0" borderId="10" xfId="46" applyFont="1" applyBorder="1">
      <alignment/>
      <protection/>
    </xf>
    <xf numFmtId="0" fontId="43" fillId="0" borderId="10" xfId="46" applyFont="1" applyBorder="1" applyAlignment="1">
      <alignment horizontal="center"/>
      <protection/>
    </xf>
    <xf numFmtId="0" fontId="43" fillId="0" borderId="10" xfId="46" applyFont="1" applyBorder="1" applyAlignment="1">
      <alignment/>
      <protection/>
    </xf>
    <xf numFmtId="0" fontId="43" fillId="0" borderId="10" xfId="46" applyFont="1" applyBorder="1" applyAlignment="1">
      <alignment horizontal="right"/>
      <protection/>
    </xf>
    <xf numFmtId="0" fontId="22" fillId="0" borderId="10" xfId="46" applyBorder="1">
      <alignment/>
      <protection/>
    </xf>
    <xf numFmtId="0" fontId="44" fillId="0" borderId="0" xfId="46" applyFont="1">
      <alignment/>
      <protection/>
    </xf>
    <xf numFmtId="0" fontId="43" fillId="0" borderId="0" xfId="46" applyFont="1" applyAlignment="1">
      <alignment horizontal="center"/>
      <protection/>
    </xf>
    <xf numFmtId="0" fontId="43" fillId="0" borderId="0" xfId="46" applyFont="1" applyAlignment="1">
      <alignment/>
      <protection/>
    </xf>
    <xf numFmtId="0" fontId="43" fillId="0" borderId="0" xfId="46" applyFont="1" applyAlignment="1">
      <alignment horizontal="right"/>
      <protection/>
    </xf>
    <xf numFmtId="0" fontId="43" fillId="0" borderId="14" xfId="46" applyFont="1" applyBorder="1">
      <alignment/>
      <protection/>
    </xf>
    <xf numFmtId="0" fontId="43" fillId="0" borderId="14" xfId="46" applyFont="1" applyBorder="1" applyAlignment="1">
      <alignment horizontal="center"/>
      <protection/>
    </xf>
    <xf numFmtId="0" fontId="43" fillId="0" borderId="14" xfId="46" applyFont="1" applyBorder="1" applyAlignment="1">
      <alignment/>
      <protection/>
    </xf>
    <xf numFmtId="0" fontId="43" fillId="0" borderId="14" xfId="46" applyFont="1" applyBorder="1" applyAlignment="1">
      <alignment horizontal="right"/>
      <protection/>
    </xf>
    <xf numFmtId="1" fontId="43" fillId="0" borderId="0" xfId="46" applyNumberFormat="1" applyFont="1" applyBorder="1" applyAlignment="1" applyProtection="1">
      <alignment horizontal="right"/>
      <protection/>
    </xf>
    <xf numFmtId="0" fontId="43" fillId="0" borderId="0" xfId="46" applyFont="1">
      <alignment/>
      <protection/>
    </xf>
    <xf numFmtId="0" fontId="43" fillId="0" borderId="0" xfId="46" applyNumberFormat="1" applyFont="1">
      <alignment/>
      <protection/>
    </xf>
    <xf numFmtId="2" fontId="43" fillId="0" borderId="0" xfId="46" applyNumberFormat="1" applyFont="1" applyAlignment="1" applyProtection="1">
      <alignment horizontal="right"/>
      <protection/>
    </xf>
    <xf numFmtId="44" fontId="43" fillId="0" borderId="0" xfId="46" applyNumberFormat="1" applyFont="1" applyAlignment="1">
      <alignment horizontal="right"/>
      <protection/>
    </xf>
    <xf numFmtId="2" fontId="43" fillId="0" borderId="0" xfId="46" applyNumberFormat="1" applyFont="1" applyBorder="1" applyAlignment="1" applyProtection="1">
      <alignment horizontal="right"/>
      <protection/>
    </xf>
    <xf numFmtId="44" fontId="43" fillId="0" borderId="0" xfId="46" applyNumberFormat="1" applyFont="1" applyBorder="1" applyAlignment="1">
      <alignment horizontal="right"/>
      <protection/>
    </xf>
    <xf numFmtId="0" fontId="43" fillId="0" borderId="26" xfId="46" applyFont="1" applyBorder="1">
      <alignment/>
      <protection/>
    </xf>
    <xf numFmtId="0" fontId="43" fillId="0" borderId="26" xfId="46" applyFont="1" applyBorder="1" applyAlignment="1">
      <alignment horizontal="center"/>
      <protection/>
    </xf>
    <xf numFmtId="2" fontId="43" fillId="0" borderId="26" xfId="46" applyNumberFormat="1" applyFont="1" applyBorder="1" applyAlignment="1" applyProtection="1">
      <alignment horizontal="right"/>
      <protection/>
    </xf>
    <xf numFmtId="44" fontId="43" fillId="0" borderId="26" xfId="46" applyNumberFormat="1" applyFont="1" applyBorder="1" applyAlignment="1">
      <alignment horizontal="right"/>
      <protection/>
    </xf>
    <xf numFmtId="0" fontId="22" fillId="0" borderId="0" xfId="46" applyAlignment="1">
      <alignment horizontal="center"/>
      <protection/>
    </xf>
    <xf numFmtId="0" fontId="22" fillId="0" borderId="10" xfId="46" applyBorder="1" applyAlignment="1">
      <alignment horizontal="center"/>
      <protection/>
    </xf>
    <xf numFmtId="9" fontId="43" fillId="0" borderId="10" xfId="46" applyNumberFormat="1" applyFont="1" applyBorder="1">
      <alignment/>
      <protection/>
    </xf>
    <xf numFmtId="44" fontId="43" fillId="0" borderId="10" xfId="46" applyNumberFormat="1" applyFont="1" applyBorder="1" applyAlignment="1">
      <alignment horizontal="right"/>
      <protection/>
    </xf>
    <xf numFmtId="44" fontId="43" fillId="0" borderId="39" xfId="46" applyNumberFormat="1" applyFont="1" applyBorder="1" applyAlignment="1">
      <alignment horizontal="right"/>
      <protection/>
    </xf>
    <xf numFmtId="0" fontId="44" fillId="0" borderId="0" xfId="46" applyFont="1" applyAlignment="1">
      <alignment horizontal="center"/>
      <protection/>
    </xf>
    <xf numFmtId="0" fontId="39" fillId="0" borderId="0" xfId="46" applyFont="1">
      <alignment/>
      <protection/>
    </xf>
    <xf numFmtId="0" fontId="22" fillId="0" borderId="0" xfId="46" applyBorder="1">
      <alignment/>
      <protection/>
    </xf>
    <xf numFmtId="8" fontId="43" fillId="0" borderId="0" xfId="46" applyNumberFormat="1" applyFont="1" applyAlignment="1">
      <alignment/>
      <protection/>
    </xf>
    <xf numFmtId="2" fontId="43" fillId="0" borderId="0" xfId="46" applyNumberFormat="1" applyFont="1" applyAlignment="1">
      <alignment/>
      <protection/>
    </xf>
    <xf numFmtId="2" fontId="43" fillId="0" borderId="0" xfId="46" applyNumberFormat="1" applyFont="1" applyAlignment="1">
      <alignment horizontal="right"/>
      <protection/>
    </xf>
    <xf numFmtId="8" fontId="43" fillId="0" borderId="0" xfId="46" applyNumberFormat="1" applyFont="1" applyAlignment="1">
      <alignment horizontal="right"/>
      <protection/>
    </xf>
    <xf numFmtId="2" fontId="43" fillId="0" borderId="0" xfId="46" applyNumberFormat="1" applyFont="1" applyBorder="1" applyAlignment="1">
      <alignment/>
      <protection/>
    </xf>
    <xf numFmtId="2" fontId="43" fillId="0" borderId="0" xfId="46" applyNumberFormat="1" applyFont="1" applyBorder="1" applyAlignment="1">
      <alignment horizontal="right"/>
      <protection/>
    </xf>
    <xf numFmtId="2" fontId="43" fillId="0" borderId="26" xfId="46" applyNumberFormat="1" applyFont="1" applyBorder="1" applyAlignment="1">
      <alignment/>
      <protection/>
    </xf>
    <xf numFmtId="2" fontId="43" fillId="0" borderId="26" xfId="46" applyNumberFormat="1" applyFont="1" applyBorder="1" applyAlignment="1">
      <alignment horizontal="right"/>
      <protection/>
    </xf>
    <xf numFmtId="0" fontId="45" fillId="0" borderId="0" xfId="46" applyFont="1">
      <alignment/>
      <protection/>
    </xf>
    <xf numFmtId="8" fontId="43" fillId="0" borderId="0" xfId="46" applyNumberFormat="1" applyFont="1" applyBorder="1" applyAlignment="1">
      <alignment/>
      <protection/>
    </xf>
    <xf numFmtId="8" fontId="43" fillId="0" borderId="10" xfId="46" applyNumberFormat="1" applyFont="1" applyBorder="1" applyAlignment="1">
      <alignment/>
      <protection/>
    </xf>
    <xf numFmtId="44" fontId="43" fillId="0" borderId="25" xfId="46" applyNumberFormat="1" applyFont="1" applyBorder="1" applyAlignment="1">
      <alignment horizontal="right"/>
      <protection/>
    </xf>
    <xf numFmtId="0" fontId="44" fillId="0" borderId="0" xfId="46" applyFont="1" applyBorder="1">
      <alignment/>
      <protection/>
    </xf>
    <xf numFmtId="0" fontId="43" fillId="0" borderId="26" xfId="46" applyFont="1" applyBorder="1" applyAlignment="1">
      <alignment horizontal="right"/>
      <protection/>
    </xf>
    <xf numFmtId="9" fontId="43" fillId="0" borderId="10" xfId="46" applyNumberFormat="1" applyFont="1" applyBorder="1" applyAlignment="1">
      <alignment horizontal="center"/>
      <protection/>
    </xf>
    <xf numFmtId="0" fontId="44" fillId="0" borderId="25" xfId="46" applyFont="1" applyBorder="1">
      <alignment/>
      <protection/>
    </xf>
    <xf numFmtId="0" fontId="43" fillId="0" borderId="25" xfId="46" applyFont="1" applyBorder="1" applyAlignment="1">
      <alignment horizontal="center"/>
      <protection/>
    </xf>
    <xf numFmtId="0" fontId="43" fillId="0" borderId="25" xfId="46" applyFont="1" applyBorder="1">
      <alignment/>
      <protection/>
    </xf>
    <xf numFmtId="8" fontId="43" fillId="0" borderId="25" xfId="46" applyNumberFormat="1" applyFont="1" applyBorder="1" applyAlignment="1">
      <alignment/>
      <protection/>
    </xf>
    <xf numFmtId="0" fontId="43" fillId="0" borderId="25" xfId="46" applyFont="1" applyBorder="1" applyAlignment="1">
      <alignment horizontal="right"/>
      <protection/>
    </xf>
    <xf numFmtId="44" fontId="44" fillId="0" borderId="25" xfId="46" applyNumberFormat="1" applyFont="1" applyBorder="1" applyAlignment="1">
      <alignment horizontal="right"/>
      <protection/>
    </xf>
    <xf numFmtId="9" fontId="43" fillId="0" borderId="0" xfId="46" applyNumberFormat="1" applyFont="1" applyBorder="1" applyAlignment="1">
      <alignment horizontal="center"/>
      <protection/>
    </xf>
    <xf numFmtId="9" fontId="43" fillId="0" borderId="0" xfId="46" applyNumberFormat="1" applyFont="1" applyBorder="1">
      <alignment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4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10" fillId="0" borderId="42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49" fontId="11" fillId="0" borderId="42" xfId="0" applyNumberFormat="1" applyFont="1" applyFill="1" applyBorder="1" applyAlignment="1" applyProtection="1">
      <alignment horizontal="left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25" borderId="42" xfId="0" applyNumberFormat="1" applyFont="1" applyFill="1" applyBorder="1" applyAlignment="1" applyProtection="1">
      <alignment horizontal="left" vertical="center"/>
      <protection/>
    </xf>
    <xf numFmtId="0" fontId="9" fillId="25" borderId="4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4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47" xfId="0" applyNumberFormat="1" applyFont="1" applyFill="1" applyBorder="1" applyAlignment="1" applyProtection="1">
      <alignment horizontal="left" vertical="center"/>
      <protection/>
    </xf>
    <xf numFmtId="0" fontId="10" fillId="0" borderId="26" xfId="0" applyNumberFormat="1" applyFont="1" applyFill="1" applyBorder="1" applyAlignment="1" applyProtection="1">
      <alignment horizontal="left" vertical="center"/>
      <protection/>
    </xf>
    <xf numFmtId="0" fontId="10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49" fontId="2" fillId="0" borderId="49" xfId="0" applyNumberFormat="1" applyFont="1" applyFill="1" applyBorder="1" applyAlignment="1" applyProtection="1">
      <alignment horizontal="left" vertical="center"/>
      <protection/>
    </xf>
    <xf numFmtId="0" fontId="2" fillId="0" borderId="50" xfId="0" applyNumberFormat="1" applyFont="1" applyFill="1" applyBorder="1" applyAlignment="1" applyProtection="1">
      <alignment horizontal="left" vertical="center"/>
      <protection/>
    </xf>
    <xf numFmtId="0" fontId="2" fillId="0" borderId="51" xfId="0" applyNumberFormat="1" applyFont="1" applyFill="1" applyBorder="1" applyAlignment="1" applyProtection="1">
      <alignment horizontal="left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" fontId="9" fillId="0" borderId="52" xfId="0" applyNumberFormat="1" applyFont="1" applyFill="1" applyBorder="1" applyAlignment="1" applyProtection="1">
      <alignment horizontal="right" vertical="center"/>
      <protection/>
    </xf>
    <xf numFmtId="0" fontId="9" fillId="0" borderId="25" xfId="0" applyNumberFormat="1" applyFont="1" applyFill="1" applyBorder="1" applyAlignment="1" applyProtection="1">
      <alignment horizontal="right" vertical="center"/>
      <protection/>
    </xf>
    <xf numFmtId="0" fontId="9" fillId="0" borderId="39" xfId="0" applyNumberFormat="1" applyFont="1" applyFill="1" applyBorder="1" applyAlignment="1" applyProtection="1">
      <alignment horizontal="righ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2" fillId="0" borderId="5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52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21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40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23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55" xfId="0" applyNumberFormat="1" applyFont="1" applyFill="1" applyBorder="1" applyAlignment="1" applyProtection="1">
      <alignment horizontal="left" vertical="center"/>
      <protection/>
    </xf>
    <xf numFmtId="0" fontId="13" fillId="0" borderId="26" xfId="0" applyNumberFormat="1" applyFont="1" applyFill="1" applyBorder="1" applyAlignment="1" applyProtection="1">
      <alignment horizontal="left" vertical="center"/>
      <protection/>
    </xf>
    <xf numFmtId="14" fontId="13" fillId="0" borderId="0" xfId="0" applyNumberFormat="1" applyFont="1" applyFill="1" applyBorder="1" applyAlignment="1" applyProtection="1">
      <alignment horizontal="left" vertical="center"/>
      <protection/>
    </xf>
    <xf numFmtId="49" fontId="16" fillId="24" borderId="18" xfId="0" applyNumberFormat="1" applyFont="1" applyFill="1" applyBorder="1" applyAlignment="1" applyProtection="1">
      <alignment horizontal="left" vertical="center"/>
      <protection/>
    </xf>
    <xf numFmtId="0" fontId="16" fillId="24" borderId="18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49" fontId="16" fillId="24" borderId="0" xfId="0" applyNumberFormat="1" applyFont="1" applyFill="1" applyBorder="1" applyAlignment="1" applyProtection="1">
      <alignment horizontal="left" vertical="center"/>
      <protection/>
    </xf>
    <xf numFmtId="0" fontId="16" fillId="24" borderId="0" xfId="0" applyNumberFormat="1" applyFont="1" applyFill="1" applyBorder="1" applyAlignment="1" applyProtection="1">
      <alignment horizontal="left" vertical="center"/>
      <protection/>
    </xf>
    <xf numFmtId="0" fontId="13" fillId="0" borderId="56" xfId="0" applyNumberFormat="1" applyFont="1" applyFill="1" applyBorder="1" applyAlignment="1" applyProtection="1">
      <alignment horizontal="left" vertical="center"/>
      <protection/>
    </xf>
    <xf numFmtId="49" fontId="14" fillId="0" borderId="49" xfId="0" applyNumberFormat="1" applyFont="1" applyFill="1" applyBorder="1" applyAlignment="1" applyProtection="1">
      <alignment horizontal="center" vertical="center"/>
      <protection/>
    </xf>
    <xf numFmtId="0" fontId="14" fillId="0" borderId="50" xfId="0" applyNumberFormat="1" applyFont="1" applyFill="1" applyBorder="1" applyAlignment="1" applyProtection="1">
      <alignment horizontal="center" vertical="center"/>
      <protection/>
    </xf>
    <xf numFmtId="0" fontId="14" fillId="0" borderId="5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left" vertical="center"/>
      <protection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inarice_rozpocet_SIL" xfId="46"/>
    <cellStyle name="normální_Vinarice_rozpocet_SLP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FF8040"/>
      <rgbColor rgb="00000000"/>
      <rgbColor rgb="00C0C0C0"/>
      <rgbColor rgb="00008000"/>
      <rgbColor rgb="00000000"/>
      <rgbColor rgb="00008000"/>
      <rgbColor rgb="00000000"/>
      <rgbColor rgb="000000FF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400050</xdr:rowOff>
    </xdr:to>
    <xdr:pic>
      <xdr:nvPicPr>
        <xdr:cNvPr id="1" name="Picture 2" descr="frapLogo3_si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400050</xdr:rowOff>
    </xdr:to>
    <xdr:pic>
      <xdr:nvPicPr>
        <xdr:cNvPr id="1" name="Picture 2" descr="frapLogo3_si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0</xdr:row>
      <xdr:rowOff>400050</xdr:rowOff>
    </xdr:to>
    <xdr:pic>
      <xdr:nvPicPr>
        <xdr:cNvPr id="1" name="Picture 2" descr="frapLogo3_si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0">
      <selection activeCell="A1" sqref="A1:I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40.5" customHeight="1">
      <c r="A1" s="258" t="s">
        <v>1766</v>
      </c>
      <c r="B1" s="259"/>
      <c r="C1" s="259"/>
      <c r="D1" s="259"/>
      <c r="E1" s="259"/>
      <c r="F1" s="259"/>
      <c r="G1" s="259"/>
      <c r="H1" s="259"/>
      <c r="I1" s="259"/>
    </row>
    <row r="2" spans="1:10" ht="12.75">
      <c r="A2" s="231" t="s">
        <v>492</v>
      </c>
      <c r="B2" s="232"/>
      <c r="C2" s="233" t="s">
        <v>1256</v>
      </c>
      <c r="D2" s="234"/>
      <c r="E2" s="224" t="s">
        <v>157</v>
      </c>
      <c r="F2" s="224" t="s">
        <v>162</v>
      </c>
      <c r="G2" s="232"/>
      <c r="H2" s="224" t="s">
        <v>274</v>
      </c>
      <c r="I2" s="226"/>
      <c r="J2" s="9"/>
    </row>
    <row r="3" spans="1:10" ht="12.75">
      <c r="A3" s="229"/>
      <c r="B3" s="225"/>
      <c r="C3" s="235"/>
      <c r="D3" s="235"/>
      <c r="E3" s="225"/>
      <c r="F3" s="225"/>
      <c r="G3" s="225"/>
      <c r="H3" s="225"/>
      <c r="I3" s="227"/>
      <c r="J3" s="9"/>
    </row>
    <row r="4" spans="1:10" ht="12.75">
      <c r="A4" s="228" t="s">
        <v>493</v>
      </c>
      <c r="B4" s="225"/>
      <c r="C4" s="230" t="s">
        <v>1257</v>
      </c>
      <c r="D4" s="225"/>
      <c r="E4" s="230" t="s">
        <v>158</v>
      </c>
      <c r="F4" s="230" t="s">
        <v>163</v>
      </c>
      <c r="G4" s="225"/>
      <c r="H4" s="230" t="s">
        <v>274</v>
      </c>
      <c r="I4" s="236"/>
      <c r="J4" s="9"/>
    </row>
    <row r="5" spans="1:10" ht="12.75">
      <c r="A5" s="229"/>
      <c r="B5" s="225"/>
      <c r="C5" s="225"/>
      <c r="D5" s="225"/>
      <c r="E5" s="225"/>
      <c r="F5" s="225"/>
      <c r="G5" s="225"/>
      <c r="H5" s="225"/>
      <c r="I5" s="227"/>
      <c r="J5" s="9"/>
    </row>
    <row r="6" spans="1:10" ht="12.75">
      <c r="A6" s="228" t="s">
        <v>494</v>
      </c>
      <c r="B6" s="225"/>
      <c r="C6" s="230" t="s">
        <v>1258</v>
      </c>
      <c r="D6" s="225"/>
      <c r="E6" s="230" t="s">
        <v>159</v>
      </c>
      <c r="F6" s="230" t="s">
        <v>164</v>
      </c>
      <c r="G6" s="225"/>
      <c r="H6" s="230" t="s">
        <v>274</v>
      </c>
      <c r="I6" s="236"/>
      <c r="J6" s="9"/>
    </row>
    <row r="7" spans="1:10" ht="12.75">
      <c r="A7" s="229"/>
      <c r="B7" s="225"/>
      <c r="C7" s="225"/>
      <c r="D7" s="225"/>
      <c r="E7" s="225"/>
      <c r="F7" s="225"/>
      <c r="G7" s="225"/>
      <c r="H7" s="225"/>
      <c r="I7" s="227"/>
      <c r="J7" s="9"/>
    </row>
    <row r="8" spans="1:10" ht="12.75">
      <c r="A8" s="228" t="s">
        <v>138</v>
      </c>
      <c r="B8" s="225"/>
      <c r="C8" s="237" t="s">
        <v>497</v>
      </c>
      <c r="D8" s="225"/>
      <c r="E8" s="230" t="s">
        <v>139</v>
      </c>
      <c r="F8" s="225"/>
      <c r="G8" s="225"/>
      <c r="H8" s="237" t="s">
        <v>275</v>
      </c>
      <c r="I8" s="236" t="s">
        <v>871</v>
      </c>
      <c r="J8" s="9"/>
    </row>
    <row r="9" spans="1:10" ht="12.75">
      <c r="A9" s="229"/>
      <c r="B9" s="225"/>
      <c r="C9" s="225"/>
      <c r="D9" s="225"/>
      <c r="E9" s="225"/>
      <c r="F9" s="225"/>
      <c r="G9" s="225"/>
      <c r="H9" s="225"/>
      <c r="I9" s="227"/>
      <c r="J9" s="9"/>
    </row>
    <row r="10" spans="1:10" ht="12.75">
      <c r="A10" s="228" t="s">
        <v>495</v>
      </c>
      <c r="B10" s="225"/>
      <c r="C10" s="230">
        <v>8016316</v>
      </c>
      <c r="D10" s="225"/>
      <c r="E10" s="230" t="s">
        <v>160</v>
      </c>
      <c r="F10" s="230" t="s">
        <v>165</v>
      </c>
      <c r="G10" s="225"/>
      <c r="H10" s="237" t="s">
        <v>276</v>
      </c>
      <c r="I10" s="240">
        <v>42761</v>
      </c>
      <c r="J10" s="9"/>
    </row>
    <row r="11" spans="1:10" ht="12.75">
      <c r="A11" s="238"/>
      <c r="B11" s="239"/>
      <c r="C11" s="239"/>
      <c r="D11" s="239"/>
      <c r="E11" s="239"/>
      <c r="F11" s="239"/>
      <c r="G11" s="239"/>
      <c r="H11" s="239"/>
      <c r="I11" s="241"/>
      <c r="J11" s="9"/>
    </row>
    <row r="12" spans="1:9" ht="23.25" customHeight="1">
      <c r="A12" s="244" t="s">
        <v>235</v>
      </c>
      <c r="B12" s="245"/>
      <c r="C12" s="245"/>
      <c r="D12" s="245"/>
      <c r="E12" s="245"/>
      <c r="F12" s="245"/>
      <c r="G12" s="245"/>
      <c r="H12" s="245"/>
      <c r="I12" s="245"/>
    </row>
    <row r="13" spans="1:10" ht="26.25" customHeight="1">
      <c r="A13" s="14" t="s">
        <v>236</v>
      </c>
      <c r="B13" s="246" t="s">
        <v>248</v>
      </c>
      <c r="C13" s="247"/>
      <c r="D13" s="14" t="s">
        <v>250</v>
      </c>
      <c r="E13" s="246" t="s">
        <v>259</v>
      </c>
      <c r="F13" s="247"/>
      <c r="G13" s="14" t="s">
        <v>260</v>
      </c>
      <c r="H13" s="246" t="s">
        <v>277</v>
      </c>
      <c r="I13" s="247"/>
      <c r="J13" s="9"/>
    </row>
    <row r="14" spans="1:10" ht="15" customHeight="1">
      <c r="A14" s="15" t="s">
        <v>237</v>
      </c>
      <c r="B14" s="19" t="s">
        <v>249</v>
      </c>
      <c r="C14" s="23">
        <f>SUM('Stavební rozpočet'!R12:R744)</f>
        <v>0</v>
      </c>
      <c r="D14" s="242" t="s">
        <v>251</v>
      </c>
      <c r="E14" s="243"/>
      <c r="F14" s="23">
        <f>VORN!I15</f>
        <v>0</v>
      </c>
      <c r="G14" s="242" t="s">
        <v>261</v>
      </c>
      <c r="H14" s="243"/>
      <c r="I14" s="23">
        <f>VORN!I21</f>
        <v>0</v>
      </c>
      <c r="J14" s="9"/>
    </row>
    <row r="15" spans="1:10" ht="15" customHeight="1">
      <c r="A15" s="16"/>
      <c r="B15" s="19" t="s">
        <v>161</v>
      </c>
      <c r="C15" s="23">
        <f>SUM('Stavební rozpočet'!S12:S744)</f>
        <v>0</v>
      </c>
      <c r="D15" s="242" t="s">
        <v>252</v>
      </c>
      <c r="E15" s="243"/>
      <c r="F15" s="23">
        <f>VORN!I16</f>
        <v>0</v>
      </c>
      <c r="G15" s="242" t="s">
        <v>262</v>
      </c>
      <c r="H15" s="243"/>
      <c r="I15" s="23">
        <f>VORN!I22</f>
        <v>0</v>
      </c>
      <c r="J15" s="9"/>
    </row>
    <row r="16" spans="1:10" ht="15" customHeight="1">
      <c r="A16" s="15" t="s">
        <v>238</v>
      </c>
      <c r="B16" s="19" t="s">
        <v>249</v>
      </c>
      <c r="C16" s="23">
        <f>SUM('Stavební rozpočet'!T12:T744)</f>
        <v>0</v>
      </c>
      <c r="D16" s="242" t="s">
        <v>253</v>
      </c>
      <c r="E16" s="243"/>
      <c r="F16" s="23">
        <f>VORN!I17</f>
        <v>0</v>
      </c>
      <c r="G16" s="242" t="s">
        <v>263</v>
      </c>
      <c r="H16" s="243"/>
      <c r="I16" s="23">
        <f>VORN!I23</f>
        <v>0</v>
      </c>
      <c r="J16" s="9"/>
    </row>
    <row r="17" spans="1:10" ht="15" customHeight="1">
      <c r="A17" s="16"/>
      <c r="B17" s="19" t="s">
        <v>161</v>
      </c>
      <c r="C17" s="23">
        <f>SUM('Stavební rozpočet'!U12:U744)</f>
        <v>0</v>
      </c>
      <c r="D17" s="242"/>
      <c r="E17" s="243"/>
      <c r="F17" s="24"/>
      <c r="G17" s="242" t="s">
        <v>264</v>
      </c>
      <c r="H17" s="243"/>
      <c r="I17" s="23">
        <f>VORN!I24</f>
        <v>0</v>
      </c>
      <c r="J17" s="9"/>
    </row>
    <row r="18" spans="1:10" ht="15" customHeight="1">
      <c r="A18" s="15" t="s">
        <v>239</v>
      </c>
      <c r="B18" s="19" t="s">
        <v>249</v>
      </c>
      <c r="C18" s="23">
        <f>SUM('Stavební rozpočet'!V12:V744)</f>
        <v>0</v>
      </c>
      <c r="D18" s="242"/>
      <c r="E18" s="243"/>
      <c r="F18" s="24"/>
      <c r="G18" s="242" t="s">
        <v>265</v>
      </c>
      <c r="H18" s="243"/>
      <c r="I18" s="23">
        <f>VORN!I25</f>
        <v>0</v>
      </c>
      <c r="J18" s="9"/>
    </row>
    <row r="19" spans="1:10" ht="15" customHeight="1">
      <c r="A19" s="16"/>
      <c r="B19" s="19" t="s">
        <v>161</v>
      </c>
      <c r="C19" s="23">
        <f>SUM('Stavební rozpočet'!W12:W744)</f>
        <v>0</v>
      </c>
      <c r="D19" s="242"/>
      <c r="E19" s="243"/>
      <c r="F19" s="24"/>
      <c r="G19" s="242" t="s">
        <v>266</v>
      </c>
      <c r="H19" s="243"/>
      <c r="I19" s="23">
        <f>VORN!I26</f>
        <v>0</v>
      </c>
      <c r="J19" s="9"/>
    </row>
    <row r="20" spans="1:10" ht="15" customHeight="1">
      <c r="A20" s="248" t="s">
        <v>240</v>
      </c>
      <c r="B20" s="249"/>
      <c r="C20" s="23">
        <f>SUM('Stavební rozpočet'!X12:X744)</f>
        <v>0</v>
      </c>
      <c r="D20" s="242"/>
      <c r="E20" s="243"/>
      <c r="F20" s="24"/>
      <c r="G20" s="242"/>
      <c r="H20" s="243"/>
      <c r="I20" s="24"/>
      <c r="J20" s="9"/>
    </row>
    <row r="21" spans="1:10" ht="15" customHeight="1">
      <c r="A21" s="248" t="s">
        <v>241</v>
      </c>
      <c r="B21" s="249"/>
      <c r="C21" s="23">
        <f>SUM('Stavební rozpočet'!P12:P744)</f>
        <v>0</v>
      </c>
      <c r="D21" s="242"/>
      <c r="E21" s="243"/>
      <c r="F21" s="24"/>
      <c r="G21" s="242"/>
      <c r="H21" s="243"/>
      <c r="I21" s="24"/>
      <c r="J21" s="9"/>
    </row>
    <row r="22" spans="1:10" ht="16.5" customHeight="1">
      <c r="A22" s="248" t="s">
        <v>242</v>
      </c>
      <c r="B22" s="249"/>
      <c r="C22" s="23">
        <f>SUM(C14:C21)</f>
        <v>0</v>
      </c>
      <c r="D22" s="248" t="s">
        <v>254</v>
      </c>
      <c r="E22" s="249"/>
      <c r="F22" s="23">
        <f>SUM(F14:F21)</f>
        <v>0</v>
      </c>
      <c r="G22" s="248" t="s">
        <v>267</v>
      </c>
      <c r="H22" s="249"/>
      <c r="I22" s="23">
        <f>SUM(I14:I21)</f>
        <v>0</v>
      </c>
      <c r="J22" s="9"/>
    </row>
    <row r="23" spans="1:10" ht="15" customHeight="1">
      <c r="A23" s="2"/>
      <c r="B23" s="2"/>
      <c r="C23" s="21"/>
      <c r="D23" s="248" t="s">
        <v>255</v>
      </c>
      <c r="E23" s="249"/>
      <c r="F23" s="25">
        <v>0</v>
      </c>
      <c r="G23" s="248" t="s">
        <v>268</v>
      </c>
      <c r="H23" s="249"/>
      <c r="I23" s="23">
        <v>0</v>
      </c>
      <c r="J23" s="9"/>
    </row>
    <row r="24" spans="4:10" ht="15" customHeight="1">
      <c r="D24" s="2"/>
      <c r="E24" s="2"/>
      <c r="F24" s="26"/>
      <c r="G24" s="248" t="s">
        <v>269</v>
      </c>
      <c r="H24" s="249"/>
      <c r="I24" s="23">
        <f>vorn_sum</f>
        <v>0</v>
      </c>
      <c r="J24" s="9"/>
    </row>
    <row r="25" spans="6:10" ht="15" customHeight="1">
      <c r="F25" s="27"/>
      <c r="G25" s="248" t="s">
        <v>270</v>
      </c>
      <c r="H25" s="249"/>
      <c r="I25" s="23">
        <v>0</v>
      </c>
      <c r="J25" s="9"/>
    </row>
    <row r="26" spans="1:9" ht="12.75">
      <c r="A26" s="1"/>
      <c r="B26" s="1"/>
      <c r="C26" s="1"/>
      <c r="G26" s="2"/>
      <c r="H26" s="2"/>
      <c r="I26" s="2"/>
    </row>
    <row r="27" spans="1:9" ht="15" customHeight="1">
      <c r="A27" s="250" t="s">
        <v>243</v>
      </c>
      <c r="B27" s="251"/>
      <c r="C27" s="28">
        <f>SUM('Stavební rozpočet'!Z12:Z744)</f>
        <v>0</v>
      </c>
      <c r="D27" s="22"/>
      <c r="E27" s="1"/>
      <c r="F27" s="1"/>
      <c r="G27" s="1"/>
      <c r="H27" s="1"/>
      <c r="I27" s="1"/>
    </row>
    <row r="28" spans="1:10" ht="15" customHeight="1">
      <c r="A28" s="250" t="s">
        <v>244</v>
      </c>
      <c r="B28" s="251"/>
      <c r="C28" s="28">
        <f>SUM('Stavební rozpočet'!AA12:AA744)</f>
        <v>0</v>
      </c>
      <c r="D28" s="250" t="s">
        <v>256</v>
      </c>
      <c r="E28" s="251"/>
      <c r="F28" s="28">
        <f>ROUND(C28*(15/100),2)</f>
        <v>0</v>
      </c>
      <c r="G28" s="250" t="s">
        <v>271</v>
      </c>
      <c r="H28" s="251"/>
      <c r="I28" s="28">
        <f>SUM(C27:C29)</f>
        <v>0</v>
      </c>
      <c r="J28" s="9"/>
    </row>
    <row r="29" spans="1:10" ht="15" customHeight="1">
      <c r="A29" s="250" t="s">
        <v>245</v>
      </c>
      <c r="B29" s="251"/>
      <c r="C29" s="28">
        <f>SUM('Stavební rozpočet'!AB12:AB744)+(F22+I22+F23+I23+I24+I25)</f>
        <v>0</v>
      </c>
      <c r="D29" s="250" t="s">
        <v>257</v>
      </c>
      <c r="E29" s="251"/>
      <c r="F29" s="28">
        <f>ROUND(C29*(21/100),2)</f>
        <v>0</v>
      </c>
      <c r="G29" s="250" t="s">
        <v>272</v>
      </c>
      <c r="H29" s="251"/>
      <c r="I29" s="28">
        <f>SUM(F28:F29)+I28</f>
        <v>0</v>
      </c>
      <c r="J29" s="9"/>
    </row>
    <row r="30" spans="1:9" ht="12.75">
      <c r="A30" s="17"/>
      <c r="B30" s="17"/>
      <c r="C30" s="17"/>
      <c r="D30" s="17"/>
      <c r="E30" s="17"/>
      <c r="F30" s="17"/>
      <c r="G30" s="17"/>
      <c r="H30" s="17"/>
      <c r="I30" s="17"/>
    </row>
    <row r="31" spans="1:10" ht="14.25" customHeight="1">
      <c r="A31" s="255" t="s">
        <v>246</v>
      </c>
      <c r="B31" s="256"/>
      <c r="C31" s="257"/>
      <c r="D31" s="255" t="s">
        <v>258</v>
      </c>
      <c r="E31" s="256"/>
      <c r="F31" s="257"/>
      <c r="G31" s="255" t="s">
        <v>273</v>
      </c>
      <c r="H31" s="256"/>
      <c r="I31" s="257"/>
      <c r="J31" s="10"/>
    </row>
    <row r="32" spans="1:10" ht="14.25" customHeight="1">
      <c r="A32" s="252"/>
      <c r="B32" s="253"/>
      <c r="C32" s="254"/>
      <c r="D32" s="252"/>
      <c r="E32" s="253"/>
      <c r="F32" s="254"/>
      <c r="G32" s="252"/>
      <c r="H32" s="253"/>
      <c r="I32" s="254"/>
      <c r="J32" s="10"/>
    </row>
    <row r="33" spans="1:10" ht="14.25" customHeight="1">
      <c r="A33" s="252"/>
      <c r="B33" s="253"/>
      <c r="C33" s="254"/>
      <c r="D33" s="252"/>
      <c r="E33" s="253"/>
      <c r="F33" s="254"/>
      <c r="G33" s="252"/>
      <c r="H33" s="253"/>
      <c r="I33" s="254"/>
      <c r="J33" s="10"/>
    </row>
    <row r="34" spans="1:10" ht="14.25" customHeight="1">
      <c r="A34" s="252"/>
      <c r="B34" s="253"/>
      <c r="C34" s="254"/>
      <c r="D34" s="252"/>
      <c r="E34" s="253"/>
      <c r="F34" s="254"/>
      <c r="G34" s="252"/>
      <c r="H34" s="253"/>
      <c r="I34" s="254"/>
      <c r="J34" s="10"/>
    </row>
    <row r="35" spans="1:10" ht="14.25" customHeight="1">
      <c r="A35" s="260" t="s">
        <v>247</v>
      </c>
      <c r="B35" s="261"/>
      <c r="C35" s="262"/>
      <c r="D35" s="260" t="s">
        <v>247</v>
      </c>
      <c r="E35" s="261"/>
      <c r="F35" s="262"/>
      <c r="G35" s="260" t="s">
        <v>247</v>
      </c>
      <c r="H35" s="261"/>
      <c r="I35" s="262"/>
      <c r="J35" s="10"/>
    </row>
    <row r="36" spans="1:9" ht="11.25" customHeight="1">
      <c r="A36" s="18" t="s">
        <v>872</v>
      </c>
      <c r="B36" s="20"/>
      <c r="C36" s="20"/>
      <c r="D36" s="20"/>
      <c r="E36" s="20"/>
      <c r="F36" s="20"/>
      <c r="G36" s="20"/>
      <c r="H36" s="20"/>
      <c r="I36" s="20"/>
    </row>
    <row r="37" spans="1:9" ht="141" customHeight="1">
      <c r="A37" s="230" t="s">
        <v>490</v>
      </c>
      <c r="B37" s="225"/>
      <c r="C37" s="225"/>
      <c r="D37" s="225"/>
      <c r="E37" s="225"/>
      <c r="F37" s="225"/>
      <c r="G37" s="225"/>
      <c r="H37" s="225"/>
      <c r="I37" s="225"/>
    </row>
  </sheetData>
  <sheetProtection/>
  <mergeCells count="83">
    <mergeCell ref="A37:I37"/>
    <mergeCell ref="A1:I1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G24:H24"/>
    <mergeCell ref="G25:H25"/>
    <mergeCell ref="A27:B27"/>
    <mergeCell ref="A28:B28"/>
    <mergeCell ref="D28:E28"/>
    <mergeCell ref="G28:H28"/>
    <mergeCell ref="A22:B22"/>
    <mergeCell ref="D22:E22"/>
    <mergeCell ref="G22:H22"/>
    <mergeCell ref="D23:E23"/>
    <mergeCell ref="G23:H23"/>
    <mergeCell ref="A20:B20"/>
    <mergeCell ref="D20:E20"/>
    <mergeCell ref="G20:H20"/>
    <mergeCell ref="A21:B21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A12:I12"/>
    <mergeCell ref="B13:C13"/>
    <mergeCell ref="E13:F13"/>
    <mergeCell ref="H13:I13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4:H5"/>
    <mergeCell ref="I4:I5"/>
    <mergeCell ref="A6:B7"/>
    <mergeCell ref="C6:D7"/>
    <mergeCell ref="E6:E7"/>
    <mergeCell ref="F6:G7"/>
    <mergeCell ref="H6:H7"/>
    <mergeCell ref="I6:I7"/>
    <mergeCell ref="H2:H3"/>
    <mergeCell ref="I2:I3"/>
    <mergeCell ref="A4:B5"/>
    <mergeCell ref="C4:D5"/>
    <mergeCell ref="E4:E5"/>
    <mergeCell ref="F4:G5"/>
    <mergeCell ref="A2:B3"/>
    <mergeCell ref="C2:D3"/>
    <mergeCell ref="E2:E3"/>
    <mergeCell ref="F2:G3"/>
  </mergeCells>
  <printOptions/>
  <pageMargins left="0.394" right="0.394" top="0.591" bottom="0.591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4">
      <selection activeCell="B45" sqref="B4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40.5" customHeight="1">
      <c r="A1" s="259" t="s">
        <v>286</v>
      </c>
      <c r="B1" s="259"/>
      <c r="C1" s="259"/>
      <c r="D1" s="259"/>
      <c r="E1" s="259"/>
      <c r="F1" s="259"/>
      <c r="G1" s="259"/>
      <c r="H1" s="259"/>
      <c r="I1" s="259"/>
    </row>
    <row r="2" spans="1:10" ht="12.75">
      <c r="A2" s="231" t="s">
        <v>492</v>
      </c>
      <c r="B2" s="232"/>
      <c r="C2" s="233" t="s">
        <v>1256</v>
      </c>
      <c r="D2" s="234"/>
      <c r="E2" s="224" t="s">
        <v>157</v>
      </c>
      <c r="F2" s="224" t="s">
        <v>162</v>
      </c>
      <c r="G2" s="232"/>
      <c r="H2" s="224" t="s">
        <v>274</v>
      </c>
      <c r="I2" s="226"/>
      <c r="J2" s="9"/>
    </row>
    <row r="3" spans="1:10" ht="12.75">
      <c r="A3" s="229"/>
      <c r="B3" s="225"/>
      <c r="C3" s="235"/>
      <c r="D3" s="235"/>
      <c r="E3" s="225"/>
      <c r="F3" s="225"/>
      <c r="G3" s="225"/>
      <c r="H3" s="225"/>
      <c r="I3" s="227"/>
      <c r="J3" s="9"/>
    </row>
    <row r="4" spans="1:10" ht="12.75">
      <c r="A4" s="228" t="s">
        <v>493</v>
      </c>
      <c r="B4" s="225"/>
      <c r="C4" s="230" t="s">
        <v>1257</v>
      </c>
      <c r="D4" s="225"/>
      <c r="E4" s="230" t="s">
        <v>158</v>
      </c>
      <c r="F4" s="230" t="s">
        <v>163</v>
      </c>
      <c r="G4" s="225"/>
      <c r="H4" s="230" t="s">
        <v>274</v>
      </c>
      <c r="I4" s="236"/>
      <c r="J4" s="9"/>
    </row>
    <row r="5" spans="1:10" ht="12.75">
      <c r="A5" s="229"/>
      <c r="B5" s="225"/>
      <c r="C5" s="225"/>
      <c r="D5" s="225"/>
      <c r="E5" s="225"/>
      <c r="F5" s="225"/>
      <c r="G5" s="225"/>
      <c r="H5" s="225"/>
      <c r="I5" s="227"/>
      <c r="J5" s="9"/>
    </row>
    <row r="6" spans="1:10" ht="12.75">
      <c r="A6" s="228" t="s">
        <v>494</v>
      </c>
      <c r="B6" s="225"/>
      <c r="C6" s="230" t="s">
        <v>1258</v>
      </c>
      <c r="D6" s="225"/>
      <c r="E6" s="230" t="s">
        <v>159</v>
      </c>
      <c r="F6" s="230" t="s">
        <v>164</v>
      </c>
      <c r="G6" s="225"/>
      <c r="H6" s="230" t="s">
        <v>274</v>
      </c>
      <c r="I6" s="236"/>
      <c r="J6" s="9"/>
    </row>
    <row r="7" spans="1:10" ht="12.75">
      <c r="A7" s="229"/>
      <c r="B7" s="225"/>
      <c r="C7" s="225"/>
      <c r="D7" s="225"/>
      <c r="E7" s="225"/>
      <c r="F7" s="225"/>
      <c r="G7" s="225"/>
      <c r="H7" s="225"/>
      <c r="I7" s="227"/>
      <c r="J7" s="9"/>
    </row>
    <row r="8" spans="1:10" ht="12.75">
      <c r="A8" s="228" t="s">
        <v>138</v>
      </c>
      <c r="B8" s="225"/>
      <c r="C8" s="237" t="s">
        <v>497</v>
      </c>
      <c r="D8" s="225"/>
      <c r="E8" s="230" t="s">
        <v>139</v>
      </c>
      <c r="F8" s="225"/>
      <c r="G8" s="225"/>
      <c r="H8" s="237" t="s">
        <v>275</v>
      </c>
      <c r="I8" s="236" t="s">
        <v>871</v>
      </c>
      <c r="J8" s="9"/>
    </row>
    <row r="9" spans="1:10" ht="12.75">
      <c r="A9" s="229"/>
      <c r="B9" s="225"/>
      <c r="C9" s="225"/>
      <c r="D9" s="225"/>
      <c r="E9" s="225"/>
      <c r="F9" s="225"/>
      <c r="G9" s="225"/>
      <c r="H9" s="225"/>
      <c r="I9" s="227"/>
      <c r="J9" s="9"/>
    </row>
    <row r="10" spans="1:10" ht="12.75">
      <c r="A10" s="228" t="s">
        <v>495</v>
      </c>
      <c r="B10" s="225"/>
      <c r="C10" s="230">
        <v>8016316</v>
      </c>
      <c r="D10" s="225"/>
      <c r="E10" s="230" t="s">
        <v>160</v>
      </c>
      <c r="F10" s="230" t="s">
        <v>165</v>
      </c>
      <c r="G10" s="225"/>
      <c r="H10" s="237" t="s">
        <v>276</v>
      </c>
      <c r="I10" s="240">
        <v>42761</v>
      </c>
      <c r="J10" s="9"/>
    </row>
    <row r="11" spans="1:10" ht="12.75">
      <c r="A11" s="238"/>
      <c r="B11" s="239"/>
      <c r="C11" s="239"/>
      <c r="D11" s="239"/>
      <c r="E11" s="239"/>
      <c r="F11" s="239"/>
      <c r="G11" s="239"/>
      <c r="H11" s="239"/>
      <c r="I11" s="241"/>
      <c r="J11" s="9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5" customHeight="1">
      <c r="A13" s="263" t="s">
        <v>278</v>
      </c>
      <c r="B13" s="264"/>
      <c r="C13" s="264"/>
      <c r="D13" s="264"/>
      <c r="E13" s="264"/>
      <c r="F13" s="30"/>
      <c r="G13" s="30"/>
      <c r="H13" s="30"/>
      <c r="I13" s="30"/>
    </row>
    <row r="14" spans="1:10" ht="12.75">
      <c r="A14" s="265" t="s">
        <v>279</v>
      </c>
      <c r="B14" s="266"/>
      <c r="C14" s="266"/>
      <c r="D14" s="266"/>
      <c r="E14" s="267"/>
      <c r="F14" s="31" t="s">
        <v>287</v>
      </c>
      <c r="G14" s="31" t="s">
        <v>288</v>
      </c>
      <c r="H14" s="31" t="s">
        <v>289</v>
      </c>
      <c r="I14" s="31" t="s">
        <v>287</v>
      </c>
      <c r="J14" s="10"/>
    </row>
    <row r="15" spans="1:10" ht="12.75">
      <c r="A15" s="268" t="s">
        <v>251</v>
      </c>
      <c r="B15" s="269"/>
      <c r="C15" s="269"/>
      <c r="D15" s="269"/>
      <c r="E15" s="270"/>
      <c r="F15" s="32">
        <v>0</v>
      </c>
      <c r="G15" s="35"/>
      <c r="H15" s="35"/>
      <c r="I15" s="32">
        <f>F15</f>
        <v>0</v>
      </c>
      <c r="J15" s="9"/>
    </row>
    <row r="16" spans="1:10" ht="12.75">
      <c r="A16" s="268" t="s">
        <v>252</v>
      </c>
      <c r="B16" s="269"/>
      <c r="C16" s="269"/>
      <c r="D16" s="269"/>
      <c r="E16" s="270"/>
      <c r="F16" s="32">
        <v>0</v>
      </c>
      <c r="G16" s="35"/>
      <c r="H16" s="35"/>
      <c r="I16" s="32">
        <f>F16</f>
        <v>0</v>
      </c>
      <c r="J16" s="9"/>
    </row>
    <row r="17" spans="1:10" ht="12.75">
      <c r="A17" s="274" t="s">
        <v>253</v>
      </c>
      <c r="B17" s="275"/>
      <c r="C17" s="275"/>
      <c r="D17" s="275"/>
      <c r="E17" s="276"/>
      <c r="F17" s="33">
        <v>0</v>
      </c>
      <c r="G17" s="36"/>
      <c r="H17" s="36"/>
      <c r="I17" s="33">
        <f>F17</f>
        <v>0</v>
      </c>
      <c r="J17" s="9"/>
    </row>
    <row r="18" spans="1:10" ht="12.75">
      <c r="A18" s="277" t="s">
        <v>280</v>
      </c>
      <c r="B18" s="278"/>
      <c r="C18" s="278"/>
      <c r="D18" s="278"/>
      <c r="E18" s="279"/>
      <c r="F18" s="34"/>
      <c r="G18" s="37"/>
      <c r="H18" s="37"/>
      <c r="I18" s="38">
        <f>SUM(I15:I17)</f>
        <v>0</v>
      </c>
      <c r="J18" s="10"/>
    </row>
    <row r="19" spans="1:9" ht="12.75">
      <c r="A19" s="29"/>
      <c r="B19" s="29"/>
      <c r="C19" s="29"/>
      <c r="D19" s="29"/>
      <c r="E19" s="29"/>
      <c r="F19" s="29"/>
      <c r="G19" s="29"/>
      <c r="H19" s="29"/>
      <c r="I19" s="29"/>
    </row>
    <row r="20" spans="1:10" ht="12.75">
      <c r="A20" s="265" t="s">
        <v>277</v>
      </c>
      <c r="B20" s="266"/>
      <c r="C20" s="266"/>
      <c r="D20" s="266"/>
      <c r="E20" s="267"/>
      <c r="F20" s="31" t="s">
        <v>287</v>
      </c>
      <c r="G20" s="31" t="s">
        <v>288</v>
      </c>
      <c r="H20" s="31" t="s">
        <v>289</v>
      </c>
      <c r="I20" s="31" t="s">
        <v>287</v>
      </c>
      <c r="J20" s="10"/>
    </row>
    <row r="21" spans="1:10" ht="12.75">
      <c r="A21" s="268" t="s">
        <v>261</v>
      </c>
      <c r="B21" s="269"/>
      <c r="C21" s="269"/>
      <c r="D21" s="269"/>
      <c r="E21" s="270"/>
      <c r="F21" s="35"/>
      <c r="G21" s="32">
        <v>1.4</v>
      </c>
      <c r="H21" s="32">
        <f>'Krycí list rozpočtu'!C22</f>
        <v>0</v>
      </c>
      <c r="I21" s="32">
        <f>(G21/100)*H21</f>
        <v>0</v>
      </c>
      <c r="J21" s="9"/>
    </row>
    <row r="22" spans="1:10" ht="12.75">
      <c r="A22" s="268" t="s">
        <v>262</v>
      </c>
      <c r="B22" s="269"/>
      <c r="C22" s="269"/>
      <c r="D22" s="269"/>
      <c r="E22" s="270"/>
      <c r="F22" s="32">
        <v>0</v>
      </c>
      <c r="G22" s="35"/>
      <c r="H22" s="35"/>
      <c r="I22" s="32">
        <f>F22</f>
        <v>0</v>
      </c>
      <c r="J22" s="9"/>
    </row>
    <row r="23" spans="1:10" ht="12.75">
      <c r="A23" s="268" t="s">
        <v>263</v>
      </c>
      <c r="B23" s="269"/>
      <c r="C23" s="269"/>
      <c r="D23" s="269"/>
      <c r="E23" s="270"/>
      <c r="F23" s="32">
        <v>0</v>
      </c>
      <c r="G23" s="35"/>
      <c r="H23" s="35"/>
      <c r="I23" s="32">
        <f>F23</f>
        <v>0</v>
      </c>
      <c r="J23" s="9"/>
    </row>
    <row r="24" spans="1:10" ht="12.75">
      <c r="A24" s="268" t="s">
        <v>264</v>
      </c>
      <c r="B24" s="269"/>
      <c r="C24" s="269"/>
      <c r="D24" s="269"/>
      <c r="E24" s="270"/>
      <c r="F24" s="32">
        <v>0</v>
      </c>
      <c r="G24" s="35"/>
      <c r="H24" s="35"/>
      <c r="I24" s="32">
        <f>F24</f>
        <v>0</v>
      </c>
      <c r="J24" s="9"/>
    </row>
    <row r="25" spans="1:10" ht="12.75">
      <c r="A25" s="268" t="s">
        <v>265</v>
      </c>
      <c r="B25" s="269"/>
      <c r="C25" s="269"/>
      <c r="D25" s="269"/>
      <c r="E25" s="270"/>
      <c r="F25" s="32">
        <v>0</v>
      </c>
      <c r="G25" s="35"/>
      <c r="H25" s="35"/>
      <c r="I25" s="32">
        <f>F25</f>
        <v>0</v>
      </c>
      <c r="J25" s="9"/>
    </row>
    <row r="26" spans="1:10" ht="12.75">
      <c r="A26" s="274" t="s">
        <v>266</v>
      </c>
      <c r="B26" s="275"/>
      <c r="C26" s="275"/>
      <c r="D26" s="275"/>
      <c r="E26" s="276"/>
      <c r="F26" s="33">
        <v>0</v>
      </c>
      <c r="G26" s="36"/>
      <c r="H26" s="36"/>
      <c r="I26" s="33">
        <f>F26</f>
        <v>0</v>
      </c>
      <c r="J26" s="9"/>
    </row>
    <row r="27" spans="1:10" ht="12.75">
      <c r="A27" s="277" t="s">
        <v>281</v>
      </c>
      <c r="B27" s="278"/>
      <c r="C27" s="278"/>
      <c r="D27" s="278"/>
      <c r="E27" s="279"/>
      <c r="F27" s="34"/>
      <c r="G27" s="37"/>
      <c r="H27" s="37"/>
      <c r="I27" s="38">
        <f>SUM(I21:I26)</f>
        <v>0</v>
      </c>
      <c r="J27" s="10"/>
    </row>
    <row r="28" spans="1:9" ht="12.75">
      <c r="A28" s="29"/>
      <c r="B28" s="29"/>
      <c r="C28" s="29"/>
      <c r="D28" s="29"/>
      <c r="E28" s="29"/>
      <c r="F28" s="29"/>
      <c r="G28" s="29"/>
      <c r="H28" s="29"/>
      <c r="I28" s="29"/>
    </row>
    <row r="29" spans="1:10" ht="15" customHeight="1">
      <c r="A29" s="280" t="s">
        <v>282</v>
      </c>
      <c r="B29" s="281"/>
      <c r="C29" s="281"/>
      <c r="D29" s="281"/>
      <c r="E29" s="282"/>
      <c r="F29" s="271">
        <f>I18+I27</f>
        <v>0</v>
      </c>
      <c r="G29" s="272"/>
      <c r="H29" s="272"/>
      <c r="I29" s="273"/>
      <c r="J29" s="10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3" spans="1:9" ht="15" customHeight="1">
      <c r="A33" s="263" t="s">
        <v>283</v>
      </c>
      <c r="B33" s="264"/>
      <c r="C33" s="264"/>
      <c r="D33" s="264"/>
      <c r="E33" s="264"/>
      <c r="F33" s="30"/>
      <c r="G33" s="30"/>
      <c r="H33" s="30"/>
      <c r="I33" s="30"/>
    </row>
    <row r="34" spans="1:10" ht="12.75">
      <c r="A34" s="265" t="s">
        <v>284</v>
      </c>
      <c r="B34" s="266"/>
      <c r="C34" s="266"/>
      <c r="D34" s="266"/>
      <c r="E34" s="267"/>
      <c r="F34" s="31" t="s">
        <v>287</v>
      </c>
      <c r="G34" s="31" t="s">
        <v>288</v>
      </c>
      <c r="H34" s="31" t="s">
        <v>289</v>
      </c>
      <c r="I34" s="31" t="s">
        <v>287</v>
      </c>
      <c r="J34" s="10"/>
    </row>
    <row r="35" spans="1:10" ht="12.75">
      <c r="A35" s="274"/>
      <c r="B35" s="275"/>
      <c r="C35" s="275"/>
      <c r="D35" s="275"/>
      <c r="E35" s="276"/>
      <c r="F35" s="33">
        <v>0</v>
      </c>
      <c r="G35" s="36"/>
      <c r="H35" s="36"/>
      <c r="I35" s="33">
        <f>F35</f>
        <v>0</v>
      </c>
      <c r="J35" s="9"/>
    </row>
    <row r="36" spans="1:10" ht="12.75">
      <c r="A36" s="277" t="s">
        <v>285</v>
      </c>
      <c r="B36" s="278"/>
      <c r="C36" s="278"/>
      <c r="D36" s="278"/>
      <c r="E36" s="279"/>
      <c r="F36" s="34"/>
      <c r="G36" s="37"/>
      <c r="H36" s="37"/>
      <c r="I36" s="38">
        <f>SUM(I35:I35)</f>
        <v>0</v>
      </c>
      <c r="J36" s="10"/>
    </row>
    <row r="37" spans="1:9" ht="12.7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51">
    <mergeCell ref="A33:E33"/>
    <mergeCell ref="A34:E34"/>
    <mergeCell ref="A35:E35"/>
    <mergeCell ref="A36:E36"/>
    <mergeCell ref="A26:E26"/>
    <mergeCell ref="A27:E27"/>
    <mergeCell ref="A29:E29"/>
    <mergeCell ref="F29:I29"/>
    <mergeCell ref="A22:E22"/>
    <mergeCell ref="A23:E23"/>
    <mergeCell ref="A24:E24"/>
    <mergeCell ref="A25:E25"/>
    <mergeCell ref="A17:E17"/>
    <mergeCell ref="A18:E18"/>
    <mergeCell ref="A20:E20"/>
    <mergeCell ref="A21:E21"/>
    <mergeCell ref="A13:E13"/>
    <mergeCell ref="A14:E14"/>
    <mergeCell ref="A15:E15"/>
    <mergeCell ref="A16:E16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H2:H3"/>
    <mergeCell ref="I2:I3"/>
    <mergeCell ref="A1:I1"/>
    <mergeCell ref="E4:E5"/>
    <mergeCell ref="F4:G5"/>
    <mergeCell ref="A2:B3"/>
    <mergeCell ref="C2:D3"/>
    <mergeCell ref="E2:E3"/>
    <mergeCell ref="F2:G3"/>
    <mergeCell ref="H4:H5"/>
  </mergeCells>
  <printOptions/>
  <pageMargins left="0.394" right="0.394" top="0.591" bottom="0.591" header="0.5" footer="0.5"/>
  <pageSetup fitToHeight="0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47"/>
  <sheetViews>
    <sheetView zoomScalePageLayoutView="0" workbookViewId="0" topLeftCell="A710">
      <selection activeCell="A712" sqref="A712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91.28125" style="0" customWidth="1"/>
    <col min="4" max="4" width="6.8515625" style="0" customWidth="1"/>
    <col min="5" max="5" width="12.8515625" style="0" customWidth="1"/>
    <col min="6" max="6" width="12.00390625" style="0" customWidth="1"/>
    <col min="7" max="8" width="14.28125" style="0" hidden="1" customWidth="1"/>
    <col min="9" max="9" width="14.28125" style="0" customWidth="1"/>
    <col min="10" max="10" width="11.7109375" style="0" hidden="1" customWidth="1"/>
    <col min="11" max="12" width="11.7109375" style="0" customWidth="1"/>
    <col min="13" max="13" width="11.57421875" style="0" customWidth="1"/>
    <col min="14" max="48" width="12.140625" style="0" hidden="1" customWidth="1"/>
  </cols>
  <sheetData>
    <row r="1" spans="1:14" ht="42" customHeight="1">
      <c r="A1" s="283" t="s">
        <v>491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39"/>
      <c r="N1" s="39"/>
    </row>
    <row r="2" spans="1:14" ht="12.75">
      <c r="A2" s="285" t="s">
        <v>492</v>
      </c>
      <c r="B2" s="286"/>
      <c r="C2" s="289" t="s">
        <v>1256</v>
      </c>
      <c r="D2" s="291" t="s">
        <v>157</v>
      </c>
      <c r="E2" s="286"/>
      <c r="F2" s="291"/>
      <c r="G2" s="286"/>
      <c r="H2" s="292" t="s">
        <v>157</v>
      </c>
      <c r="I2" s="292" t="s">
        <v>162</v>
      </c>
      <c r="J2" s="286"/>
      <c r="K2" s="286"/>
      <c r="L2" s="293"/>
      <c r="M2" s="40"/>
      <c r="N2" s="39"/>
    </row>
    <row r="3" spans="1:14" ht="12.75">
      <c r="A3" s="287"/>
      <c r="B3" s="288"/>
      <c r="C3" s="290"/>
      <c r="D3" s="288"/>
      <c r="E3" s="288"/>
      <c r="F3" s="288"/>
      <c r="G3" s="288"/>
      <c r="H3" s="288"/>
      <c r="I3" s="288"/>
      <c r="J3" s="288"/>
      <c r="K3" s="288"/>
      <c r="L3" s="294"/>
      <c r="M3" s="40"/>
      <c r="N3" s="39"/>
    </row>
    <row r="4" spans="1:14" ht="12.75">
      <c r="A4" s="296" t="s">
        <v>493</v>
      </c>
      <c r="B4" s="288"/>
      <c r="C4" s="295" t="s">
        <v>1257</v>
      </c>
      <c r="D4" s="297" t="s">
        <v>158</v>
      </c>
      <c r="E4" s="288"/>
      <c r="F4" s="297" t="s">
        <v>497</v>
      </c>
      <c r="G4" s="288"/>
      <c r="H4" s="295" t="s">
        <v>158</v>
      </c>
      <c r="I4" s="295" t="s">
        <v>163</v>
      </c>
      <c r="J4" s="288"/>
      <c r="K4" s="288"/>
      <c r="L4" s="294"/>
      <c r="M4" s="40"/>
      <c r="N4" s="39"/>
    </row>
    <row r="5" spans="1:14" ht="12.75">
      <c r="A5" s="287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94"/>
      <c r="M5" s="40"/>
      <c r="N5" s="39"/>
    </row>
    <row r="6" spans="1:14" ht="12.75">
      <c r="A6" s="296" t="s">
        <v>494</v>
      </c>
      <c r="B6" s="288"/>
      <c r="C6" s="295" t="s">
        <v>1258</v>
      </c>
      <c r="D6" s="297" t="s">
        <v>159</v>
      </c>
      <c r="E6" s="288"/>
      <c r="F6" s="288"/>
      <c r="G6" s="288"/>
      <c r="H6" s="295" t="s">
        <v>159</v>
      </c>
      <c r="I6" s="295" t="s">
        <v>164</v>
      </c>
      <c r="J6" s="288"/>
      <c r="K6" s="288"/>
      <c r="L6" s="294"/>
      <c r="M6" s="40"/>
      <c r="N6" s="39"/>
    </row>
    <row r="7" spans="1:14" ht="12.75">
      <c r="A7" s="28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94"/>
      <c r="M7" s="40"/>
      <c r="N7" s="39"/>
    </row>
    <row r="8" spans="1:14" ht="12.75">
      <c r="A8" s="296" t="s">
        <v>495</v>
      </c>
      <c r="B8" s="288"/>
      <c r="C8" s="295">
        <v>8016316</v>
      </c>
      <c r="D8" s="297" t="s">
        <v>160</v>
      </c>
      <c r="E8" s="288"/>
      <c r="F8" s="300">
        <v>42761</v>
      </c>
      <c r="G8" s="288"/>
      <c r="H8" s="295" t="s">
        <v>160</v>
      </c>
      <c r="I8" s="295" t="s">
        <v>165</v>
      </c>
      <c r="J8" s="288"/>
      <c r="K8" s="288"/>
      <c r="L8" s="294"/>
      <c r="M8" s="40"/>
      <c r="N8" s="39"/>
    </row>
    <row r="9" spans="1:14" ht="12.75">
      <c r="A9" s="298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307"/>
      <c r="M9" s="40"/>
      <c r="N9" s="39"/>
    </row>
    <row r="10" spans="1:14" ht="12.75">
      <c r="A10" s="41" t="s">
        <v>496</v>
      </c>
      <c r="B10" s="42" t="s">
        <v>873</v>
      </c>
      <c r="C10" s="42" t="s">
        <v>1259</v>
      </c>
      <c r="D10" s="42" t="s">
        <v>140</v>
      </c>
      <c r="E10" s="43" t="s">
        <v>151</v>
      </c>
      <c r="F10" s="44" t="s">
        <v>152</v>
      </c>
      <c r="G10" s="308" t="s">
        <v>154</v>
      </c>
      <c r="H10" s="309"/>
      <c r="I10" s="310"/>
      <c r="J10" s="308" t="s">
        <v>167</v>
      </c>
      <c r="K10" s="310"/>
      <c r="L10" s="45" t="s">
        <v>168</v>
      </c>
      <c r="M10" s="46"/>
      <c r="N10" s="39"/>
    </row>
    <row r="11" spans="1:24" ht="12.75">
      <c r="A11" s="47" t="s">
        <v>497</v>
      </c>
      <c r="B11" s="48" t="s">
        <v>497</v>
      </c>
      <c r="C11" s="49" t="s">
        <v>1260</v>
      </c>
      <c r="D11" s="48" t="s">
        <v>497</v>
      </c>
      <c r="E11" s="48" t="s">
        <v>497</v>
      </c>
      <c r="F11" s="50" t="s">
        <v>153</v>
      </c>
      <c r="G11" s="51" t="s">
        <v>155</v>
      </c>
      <c r="H11" s="52" t="s">
        <v>161</v>
      </c>
      <c r="I11" s="53" t="s">
        <v>166</v>
      </c>
      <c r="J11" s="51" t="s">
        <v>152</v>
      </c>
      <c r="K11" s="53" t="s">
        <v>166</v>
      </c>
      <c r="L11" s="54" t="s">
        <v>169</v>
      </c>
      <c r="M11" s="46"/>
      <c r="N11" s="39"/>
      <c r="P11" s="6" t="s">
        <v>171</v>
      </c>
      <c r="Q11" s="6" t="s">
        <v>172</v>
      </c>
      <c r="R11" s="6" t="s">
        <v>173</v>
      </c>
      <c r="S11" s="6" t="s">
        <v>174</v>
      </c>
      <c r="T11" s="6" t="s">
        <v>175</v>
      </c>
      <c r="U11" s="6" t="s">
        <v>176</v>
      </c>
      <c r="V11" s="6" t="s">
        <v>177</v>
      </c>
      <c r="W11" s="6" t="s">
        <v>178</v>
      </c>
      <c r="X11" s="6" t="s">
        <v>179</v>
      </c>
    </row>
    <row r="12" spans="1:37" ht="12.75">
      <c r="A12" s="55"/>
      <c r="B12" s="56" t="s">
        <v>498</v>
      </c>
      <c r="C12" s="301" t="s">
        <v>1261</v>
      </c>
      <c r="D12" s="302"/>
      <c r="E12" s="302"/>
      <c r="F12" s="302"/>
      <c r="G12" s="57">
        <f>SUM(G13:G26)</f>
        <v>0</v>
      </c>
      <c r="H12" s="57">
        <f>SUM(H13:H26)</f>
        <v>0</v>
      </c>
      <c r="I12" s="57">
        <f>G12+H12</f>
        <v>0</v>
      </c>
      <c r="J12" s="58"/>
      <c r="K12" s="57">
        <f>SUM(K13:K26)</f>
        <v>0.0006000000000000001</v>
      </c>
      <c r="L12" s="58"/>
      <c r="M12" s="39"/>
      <c r="N12" s="39"/>
      <c r="Y12" s="6"/>
      <c r="AI12" s="13">
        <f>SUM(Z13:Z26)</f>
        <v>0</v>
      </c>
      <c r="AJ12" s="13">
        <f>SUM(AA13:AA26)</f>
        <v>0</v>
      </c>
      <c r="AK12" s="13">
        <f>SUM(AB13:AB26)</f>
        <v>0</v>
      </c>
    </row>
    <row r="13" spans="1:48" ht="12.75">
      <c r="A13" s="59" t="s">
        <v>498</v>
      </c>
      <c r="B13" s="59" t="s">
        <v>874</v>
      </c>
      <c r="C13" s="59" t="s">
        <v>1262</v>
      </c>
      <c r="D13" s="59" t="s">
        <v>141</v>
      </c>
      <c r="E13" s="60">
        <v>7.569</v>
      </c>
      <c r="F13" s="61"/>
      <c r="G13" s="61">
        <f>E13*AE13</f>
        <v>0</v>
      </c>
      <c r="H13" s="61">
        <f>I13-G13</f>
        <v>0</v>
      </c>
      <c r="I13" s="61">
        <f>E13*F13</f>
        <v>0</v>
      </c>
      <c r="J13" s="61">
        <v>0</v>
      </c>
      <c r="K13" s="61">
        <f>E13*J13</f>
        <v>0</v>
      </c>
      <c r="L13" s="62" t="s">
        <v>170</v>
      </c>
      <c r="M13" s="39"/>
      <c r="N13" s="39"/>
      <c r="P13" s="11">
        <f>IF(AG13="5",I13,0)</f>
        <v>0</v>
      </c>
      <c r="R13" s="11">
        <f>IF(AG13="1",G13,0)</f>
        <v>0</v>
      </c>
      <c r="S13" s="11">
        <f>IF(AG13="1",H13,0)</f>
        <v>0</v>
      </c>
      <c r="T13" s="11">
        <f>IF(AG13="7",G13,0)</f>
        <v>0</v>
      </c>
      <c r="U13" s="11">
        <f>IF(AG13="7",H13,0)</f>
        <v>0</v>
      </c>
      <c r="V13" s="11">
        <f>IF(AG13="2",G13,0)</f>
        <v>0</v>
      </c>
      <c r="W13" s="11">
        <f>IF(AG13="2",H13,0)</f>
        <v>0</v>
      </c>
      <c r="X13" s="11">
        <f>IF(AG13="0",I13,0)</f>
        <v>0</v>
      </c>
      <c r="Y13" s="6"/>
      <c r="Z13" s="4">
        <f>IF(AD13=0,I13,0)</f>
        <v>0</v>
      </c>
      <c r="AA13" s="4">
        <f>IF(AD13=15,I13,0)</f>
        <v>0</v>
      </c>
      <c r="AB13" s="4">
        <f>IF(AD13=21,I13,0)</f>
        <v>0</v>
      </c>
      <c r="AD13" s="11">
        <v>21</v>
      </c>
      <c r="AE13" s="11">
        <f>F13*0</f>
        <v>0</v>
      </c>
      <c r="AF13" s="11">
        <f>F13*(1-0)</f>
        <v>0</v>
      </c>
      <c r="AG13" s="7" t="s">
        <v>498</v>
      </c>
      <c r="AM13" s="11">
        <f>E13*AE13</f>
        <v>0</v>
      </c>
      <c r="AN13" s="11">
        <f>E13*AF13</f>
        <v>0</v>
      </c>
      <c r="AO13" s="12" t="s">
        <v>180</v>
      </c>
      <c r="AP13" s="12" t="s">
        <v>180</v>
      </c>
      <c r="AQ13" s="6" t="s">
        <v>234</v>
      </c>
      <c r="AS13" s="11">
        <f>AM13+AN13</f>
        <v>0</v>
      </c>
      <c r="AT13" s="11">
        <f>F13/(100-AU13)*100</f>
        <v>0</v>
      </c>
      <c r="AU13" s="11">
        <v>0</v>
      </c>
      <c r="AV13" s="11">
        <f>K13</f>
        <v>0</v>
      </c>
    </row>
    <row r="14" spans="1:14" ht="12.75">
      <c r="A14" s="39"/>
      <c r="B14" s="39"/>
      <c r="C14" s="63" t="s">
        <v>1263</v>
      </c>
      <c r="D14" s="39"/>
      <c r="E14" s="64">
        <v>7.569</v>
      </c>
      <c r="F14" s="39"/>
      <c r="G14" s="39"/>
      <c r="H14" s="39"/>
      <c r="I14" s="39"/>
      <c r="J14" s="39"/>
      <c r="K14" s="39"/>
      <c r="L14" s="39"/>
      <c r="M14" s="39"/>
      <c r="N14" s="39"/>
    </row>
    <row r="15" spans="1:48" ht="12.75">
      <c r="A15" s="59" t="s">
        <v>499</v>
      </c>
      <c r="B15" s="59" t="s">
        <v>875</v>
      </c>
      <c r="C15" s="59" t="s">
        <v>1264</v>
      </c>
      <c r="D15" s="59" t="s">
        <v>141</v>
      </c>
      <c r="E15" s="60">
        <v>2.464</v>
      </c>
      <c r="F15" s="61"/>
      <c r="G15" s="61">
        <f>E15*AE15</f>
        <v>0</v>
      </c>
      <c r="H15" s="61">
        <f>I15-G15</f>
        <v>0</v>
      </c>
      <c r="I15" s="61">
        <f>E15*F15</f>
        <v>0</v>
      </c>
      <c r="J15" s="61">
        <v>0</v>
      </c>
      <c r="K15" s="61">
        <f>E15*J15</f>
        <v>0</v>
      </c>
      <c r="L15" s="62" t="s">
        <v>170</v>
      </c>
      <c r="M15" s="39"/>
      <c r="N15" s="39"/>
      <c r="P15" s="11">
        <f>IF(AG15="5",I15,0)</f>
        <v>0</v>
      </c>
      <c r="R15" s="11">
        <f>IF(AG15="1",G15,0)</f>
        <v>0</v>
      </c>
      <c r="S15" s="11">
        <f>IF(AG15="1",H15,0)</f>
        <v>0</v>
      </c>
      <c r="T15" s="11">
        <f>IF(AG15="7",G15,0)</f>
        <v>0</v>
      </c>
      <c r="U15" s="11">
        <f>IF(AG15="7",H15,0)</f>
        <v>0</v>
      </c>
      <c r="V15" s="11">
        <f>IF(AG15="2",G15,0)</f>
        <v>0</v>
      </c>
      <c r="W15" s="11">
        <f>IF(AG15="2",H15,0)</f>
        <v>0</v>
      </c>
      <c r="X15" s="11">
        <f>IF(AG15="0",I15,0)</f>
        <v>0</v>
      </c>
      <c r="Y15" s="6"/>
      <c r="Z15" s="4">
        <f>IF(AD15=0,I15,0)</f>
        <v>0</v>
      </c>
      <c r="AA15" s="4">
        <f>IF(AD15=15,I15,0)</f>
        <v>0</v>
      </c>
      <c r="AB15" s="4">
        <f>IF(AD15=21,I15,0)</f>
        <v>0</v>
      </c>
      <c r="AD15" s="11">
        <v>21</v>
      </c>
      <c r="AE15" s="11">
        <f>F15*0</f>
        <v>0</v>
      </c>
      <c r="AF15" s="11">
        <f>F15*(1-0)</f>
        <v>0</v>
      </c>
      <c r="AG15" s="7" t="s">
        <v>498</v>
      </c>
      <c r="AM15" s="11">
        <f>E15*AE15</f>
        <v>0</v>
      </c>
      <c r="AN15" s="11">
        <f>E15*AF15</f>
        <v>0</v>
      </c>
      <c r="AO15" s="12" t="s">
        <v>180</v>
      </c>
      <c r="AP15" s="12" t="s">
        <v>180</v>
      </c>
      <c r="AQ15" s="6" t="s">
        <v>234</v>
      </c>
      <c r="AS15" s="11">
        <f>AM15+AN15</f>
        <v>0</v>
      </c>
      <c r="AT15" s="11">
        <f>F15/(100-AU15)*100</f>
        <v>0</v>
      </c>
      <c r="AU15" s="11">
        <v>0</v>
      </c>
      <c r="AV15" s="11">
        <f>K15</f>
        <v>0</v>
      </c>
    </row>
    <row r="16" spans="1:14" ht="12.75">
      <c r="A16" s="39"/>
      <c r="B16" s="39"/>
      <c r="C16" s="63" t="s">
        <v>1265</v>
      </c>
      <c r="D16" s="39"/>
      <c r="E16" s="64">
        <v>2.464</v>
      </c>
      <c r="F16" s="39"/>
      <c r="G16" s="39"/>
      <c r="H16" s="39"/>
      <c r="I16" s="39"/>
      <c r="J16" s="39"/>
      <c r="K16" s="39"/>
      <c r="L16" s="39"/>
      <c r="M16" s="39"/>
      <c r="N16" s="39"/>
    </row>
    <row r="17" spans="1:48" ht="12.75">
      <c r="A17" s="59" t="s">
        <v>500</v>
      </c>
      <c r="B17" s="59" t="s">
        <v>876</v>
      </c>
      <c r="C17" s="59" t="s">
        <v>1266</v>
      </c>
      <c r="D17" s="59" t="s">
        <v>141</v>
      </c>
      <c r="E17" s="60">
        <v>0.73</v>
      </c>
      <c r="F17" s="61"/>
      <c r="G17" s="61">
        <f>E17*AE17</f>
        <v>0</v>
      </c>
      <c r="H17" s="61">
        <f>I17-G17</f>
        <v>0</v>
      </c>
      <c r="I17" s="61">
        <v>0</v>
      </c>
      <c r="J17" s="61">
        <v>0</v>
      </c>
      <c r="K17" s="61">
        <f>E17*J17</f>
        <v>0</v>
      </c>
      <c r="L17" s="62" t="s">
        <v>170</v>
      </c>
      <c r="M17" s="39"/>
      <c r="N17" s="39"/>
      <c r="P17" s="11">
        <f>IF(AG17="5",I17,0)</f>
        <v>0</v>
      </c>
      <c r="R17" s="11">
        <f>IF(AG17="1",G17,0)</f>
        <v>0</v>
      </c>
      <c r="S17" s="11">
        <f>IF(AG17="1",H17,0)</f>
        <v>0</v>
      </c>
      <c r="T17" s="11">
        <f>IF(AG17="7",G17,0)</f>
        <v>0</v>
      </c>
      <c r="U17" s="11">
        <f>IF(AG17="7",H17,0)</f>
        <v>0</v>
      </c>
      <c r="V17" s="11">
        <f>IF(AG17="2",G17,0)</f>
        <v>0</v>
      </c>
      <c r="W17" s="11">
        <f>IF(AG17="2",H17,0)</f>
        <v>0</v>
      </c>
      <c r="X17" s="11">
        <f>IF(AG17="0",I17,0)</f>
        <v>0</v>
      </c>
      <c r="Y17" s="6"/>
      <c r="Z17" s="4">
        <f>IF(AD17=0,I17,0)</f>
        <v>0</v>
      </c>
      <c r="AA17" s="4">
        <f>IF(AD17=15,I17,0)</f>
        <v>0</v>
      </c>
      <c r="AB17" s="4">
        <f>IF(AD17=21,I17,0)</f>
        <v>0</v>
      </c>
      <c r="AD17" s="11">
        <v>21</v>
      </c>
      <c r="AE17" s="11">
        <f>F17*0</f>
        <v>0</v>
      </c>
      <c r="AF17" s="11">
        <f>F17*(1-0)</f>
        <v>0</v>
      </c>
      <c r="AG17" s="7" t="s">
        <v>498</v>
      </c>
      <c r="AM17" s="11">
        <f>E17*AE17</f>
        <v>0</v>
      </c>
      <c r="AN17" s="11">
        <f>E17*AF17</f>
        <v>0</v>
      </c>
      <c r="AO17" s="12" t="s">
        <v>180</v>
      </c>
      <c r="AP17" s="12" t="s">
        <v>180</v>
      </c>
      <c r="AQ17" s="6" t="s">
        <v>234</v>
      </c>
      <c r="AS17" s="11">
        <f>AM17+AN17</f>
        <v>0</v>
      </c>
      <c r="AT17" s="11">
        <f>F17/(100-AU17)*100</f>
        <v>0</v>
      </c>
      <c r="AU17" s="11">
        <v>0</v>
      </c>
      <c r="AV17" s="11">
        <f>K17</f>
        <v>0</v>
      </c>
    </row>
    <row r="18" spans="1:14" ht="12.75">
      <c r="A18" s="39"/>
      <c r="B18" s="39"/>
      <c r="C18" s="63" t="s">
        <v>1267</v>
      </c>
      <c r="D18" s="39"/>
      <c r="E18" s="64">
        <v>30.108</v>
      </c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2.75">
      <c r="A19" s="39"/>
      <c r="B19" s="39"/>
      <c r="C19" s="63" t="s">
        <v>1268</v>
      </c>
      <c r="D19" s="39"/>
      <c r="E19" s="64">
        <v>0.73</v>
      </c>
      <c r="F19" s="39"/>
      <c r="G19" s="39"/>
      <c r="H19" s="39"/>
      <c r="I19" s="39"/>
      <c r="J19" s="39"/>
      <c r="K19" s="39"/>
      <c r="L19" s="39"/>
      <c r="M19" s="39"/>
      <c r="N19" s="39"/>
    </row>
    <row r="20" spans="1:48" ht="12.75">
      <c r="A20" s="59" t="s">
        <v>501</v>
      </c>
      <c r="B20" s="59" t="s">
        <v>877</v>
      </c>
      <c r="C20" s="59" t="s">
        <v>1269</v>
      </c>
      <c r="D20" s="59" t="s">
        <v>141</v>
      </c>
      <c r="E20" s="60">
        <v>3.218</v>
      </c>
      <c r="F20" s="61"/>
      <c r="G20" s="61">
        <f>E20*AE20</f>
        <v>0</v>
      </c>
      <c r="H20" s="61">
        <f>I20-G20</f>
        <v>0</v>
      </c>
      <c r="I20" s="61">
        <f>E20*F20</f>
        <v>0</v>
      </c>
      <c r="J20" s="61">
        <v>0</v>
      </c>
      <c r="K20" s="61">
        <f>E20*J20</f>
        <v>0</v>
      </c>
      <c r="L20" s="62" t="s">
        <v>170</v>
      </c>
      <c r="M20" s="39"/>
      <c r="N20" s="39"/>
      <c r="P20" s="11">
        <f>IF(AG20="5",I20,0)</f>
        <v>0</v>
      </c>
      <c r="R20" s="11">
        <f>IF(AG20="1",G20,0)</f>
        <v>0</v>
      </c>
      <c r="S20" s="11">
        <f>IF(AG20="1",H20,0)</f>
        <v>0</v>
      </c>
      <c r="T20" s="11">
        <f>IF(AG20="7",G20,0)</f>
        <v>0</v>
      </c>
      <c r="U20" s="11">
        <f>IF(AG20="7",H20,0)</f>
        <v>0</v>
      </c>
      <c r="V20" s="11">
        <f>IF(AG20="2",G20,0)</f>
        <v>0</v>
      </c>
      <c r="W20" s="11">
        <f>IF(AG20="2",H20,0)</f>
        <v>0</v>
      </c>
      <c r="X20" s="11">
        <f>IF(AG20="0",I20,0)</f>
        <v>0</v>
      </c>
      <c r="Y20" s="6"/>
      <c r="Z20" s="4">
        <f>IF(AD20=0,I20,0)</f>
        <v>0</v>
      </c>
      <c r="AA20" s="4">
        <f>IF(AD20=15,I20,0)</f>
        <v>0</v>
      </c>
      <c r="AB20" s="4">
        <f>IF(AD20=21,I20,0)</f>
        <v>0</v>
      </c>
      <c r="AD20" s="11">
        <v>21</v>
      </c>
      <c r="AE20" s="11">
        <f>F20*0</f>
        <v>0</v>
      </c>
      <c r="AF20" s="11">
        <f>F20*(1-0)</f>
        <v>0</v>
      </c>
      <c r="AG20" s="7" t="s">
        <v>498</v>
      </c>
      <c r="AM20" s="11">
        <f>E20*AE20</f>
        <v>0</v>
      </c>
      <c r="AN20" s="11">
        <f>E20*AF20</f>
        <v>0</v>
      </c>
      <c r="AO20" s="12" t="s">
        <v>180</v>
      </c>
      <c r="AP20" s="12" t="s">
        <v>180</v>
      </c>
      <c r="AQ20" s="6" t="s">
        <v>234</v>
      </c>
      <c r="AS20" s="11">
        <f>AM20+AN20</f>
        <v>0</v>
      </c>
      <c r="AT20" s="11">
        <f>F20/(100-AU20)*100</f>
        <v>0</v>
      </c>
      <c r="AU20" s="11">
        <v>0</v>
      </c>
      <c r="AV20" s="11">
        <f>K20</f>
        <v>0</v>
      </c>
    </row>
    <row r="21" spans="1:14" ht="12.75">
      <c r="A21" s="39"/>
      <c r="B21" s="39"/>
      <c r="C21" s="63" t="s">
        <v>1270</v>
      </c>
      <c r="D21" s="39"/>
      <c r="E21" s="64">
        <v>3.218</v>
      </c>
      <c r="F21" s="39"/>
      <c r="G21" s="39"/>
      <c r="H21" s="39"/>
      <c r="I21" s="39"/>
      <c r="J21" s="39"/>
      <c r="K21" s="39"/>
      <c r="L21" s="39"/>
      <c r="M21" s="39"/>
      <c r="N21" s="39"/>
    </row>
    <row r="22" spans="1:48" ht="12.75">
      <c r="A22" s="59" t="s">
        <v>502</v>
      </c>
      <c r="B22" s="59" t="s">
        <v>876</v>
      </c>
      <c r="C22" s="59" t="s">
        <v>1266</v>
      </c>
      <c r="D22" s="59" t="s">
        <v>141</v>
      </c>
      <c r="E22" s="60">
        <v>1.073</v>
      </c>
      <c r="F22" s="61"/>
      <c r="G22" s="61">
        <f>E22*AE22</f>
        <v>0</v>
      </c>
      <c r="H22" s="61">
        <f>I22-G22</f>
        <v>0</v>
      </c>
      <c r="I22" s="61">
        <f>E22*F22</f>
        <v>0</v>
      </c>
      <c r="J22" s="61">
        <v>0</v>
      </c>
      <c r="K22" s="61">
        <f>E22*J22</f>
        <v>0</v>
      </c>
      <c r="L22" s="62" t="s">
        <v>170</v>
      </c>
      <c r="M22" s="39"/>
      <c r="N22" s="39"/>
      <c r="P22" s="11">
        <f>IF(AG22="5",I22,0)</f>
        <v>0</v>
      </c>
      <c r="R22" s="11">
        <f>IF(AG22="1",G22,0)</f>
        <v>0</v>
      </c>
      <c r="S22" s="11">
        <f>IF(AG22="1",H22,0)</f>
        <v>0</v>
      </c>
      <c r="T22" s="11">
        <f>IF(AG22="7",G22,0)</f>
        <v>0</v>
      </c>
      <c r="U22" s="11">
        <f>IF(AG22="7",H22,0)</f>
        <v>0</v>
      </c>
      <c r="V22" s="11">
        <f>IF(AG22="2",G22,0)</f>
        <v>0</v>
      </c>
      <c r="W22" s="11">
        <f>IF(AG22="2",H22,0)</f>
        <v>0</v>
      </c>
      <c r="X22" s="11">
        <f>IF(AG22="0",I22,0)</f>
        <v>0</v>
      </c>
      <c r="Y22" s="6"/>
      <c r="Z22" s="4">
        <f>IF(AD22=0,I22,0)</f>
        <v>0</v>
      </c>
      <c r="AA22" s="4">
        <f>IF(AD22=15,I22,0)</f>
        <v>0</v>
      </c>
      <c r="AB22" s="4">
        <f>IF(AD22=21,I22,0)</f>
        <v>0</v>
      </c>
      <c r="AD22" s="11">
        <v>21</v>
      </c>
      <c r="AE22" s="11">
        <f>F22*0</f>
        <v>0</v>
      </c>
      <c r="AF22" s="11">
        <f>F22*(1-0)</f>
        <v>0</v>
      </c>
      <c r="AG22" s="7" t="s">
        <v>498</v>
      </c>
      <c r="AM22" s="11">
        <f>E22*AE22</f>
        <v>0</v>
      </c>
      <c r="AN22" s="11">
        <f>E22*AF22</f>
        <v>0</v>
      </c>
      <c r="AO22" s="12" t="s">
        <v>180</v>
      </c>
      <c r="AP22" s="12" t="s">
        <v>180</v>
      </c>
      <c r="AQ22" s="6" t="s">
        <v>234</v>
      </c>
      <c r="AS22" s="11">
        <f>AM22+AN22</f>
        <v>0</v>
      </c>
      <c r="AT22" s="11">
        <f>F22/(100-AU22)*100</f>
        <v>0</v>
      </c>
      <c r="AU22" s="11">
        <v>0</v>
      </c>
      <c r="AV22" s="11">
        <f>K22</f>
        <v>0</v>
      </c>
    </row>
    <row r="23" spans="1:14" ht="12.75">
      <c r="A23" s="39"/>
      <c r="B23" s="39"/>
      <c r="C23" s="63" t="s">
        <v>1271</v>
      </c>
      <c r="D23" s="39"/>
      <c r="E23" s="64">
        <v>1.073</v>
      </c>
      <c r="F23" s="39"/>
      <c r="G23" s="39"/>
      <c r="H23" s="39"/>
      <c r="I23" s="39"/>
      <c r="J23" s="39"/>
      <c r="K23" s="39"/>
      <c r="L23" s="39"/>
      <c r="M23" s="39"/>
      <c r="N23" s="39"/>
    </row>
    <row r="24" spans="1:48" ht="12.75">
      <c r="A24" s="59" t="s">
        <v>503</v>
      </c>
      <c r="B24" s="59" t="s">
        <v>878</v>
      </c>
      <c r="C24" s="59" t="s">
        <v>1272</v>
      </c>
      <c r="D24" s="59" t="s">
        <v>142</v>
      </c>
      <c r="E24" s="60">
        <v>20</v>
      </c>
      <c r="F24" s="61"/>
      <c r="G24" s="61">
        <f>E24*AE24</f>
        <v>0</v>
      </c>
      <c r="H24" s="61">
        <f>I24-G24</f>
        <v>0</v>
      </c>
      <c r="I24" s="61">
        <f>E24*F24</f>
        <v>0</v>
      </c>
      <c r="J24" s="61">
        <v>3E-05</v>
      </c>
      <c r="K24" s="61">
        <f>E24*J24</f>
        <v>0.0006000000000000001</v>
      </c>
      <c r="L24" s="62" t="s">
        <v>170</v>
      </c>
      <c r="M24" s="39"/>
      <c r="N24" s="39"/>
      <c r="P24" s="11">
        <f>IF(AG24="5",I24,0)</f>
        <v>0</v>
      </c>
      <c r="R24" s="11">
        <f>IF(AG24="1",G24,0)</f>
        <v>0</v>
      </c>
      <c r="S24" s="11">
        <f>IF(AG24="1",H24,0)</f>
        <v>0</v>
      </c>
      <c r="T24" s="11">
        <f>IF(AG24="7",G24,0)</f>
        <v>0</v>
      </c>
      <c r="U24" s="11">
        <f>IF(AG24="7",H24,0)</f>
        <v>0</v>
      </c>
      <c r="V24" s="11">
        <f>IF(AG24="2",G24,0)</f>
        <v>0</v>
      </c>
      <c r="W24" s="11">
        <f>IF(AG24="2",H24,0)</f>
        <v>0</v>
      </c>
      <c r="X24" s="11">
        <f>IF(AG24="0",I24,0)</f>
        <v>0</v>
      </c>
      <c r="Y24" s="6"/>
      <c r="Z24" s="4">
        <f>IF(AD24=0,I24,0)</f>
        <v>0</v>
      </c>
      <c r="AA24" s="4">
        <f>IF(AD24=15,I24,0)</f>
        <v>0</v>
      </c>
      <c r="AB24" s="4">
        <f>IF(AD24=21,I24,0)</f>
        <v>0</v>
      </c>
      <c r="AD24" s="11">
        <v>21</v>
      </c>
      <c r="AE24" s="11">
        <f>F24*0.0566079053980072</f>
        <v>0</v>
      </c>
      <c r="AF24" s="11">
        <f>F24*(1-0.0566079053980072)</f>
        <v>0</v>
      </c>
      <c r="AG24" s="7" t="s">
        <v>498</v>
      </c>
      <c r="AM24" s="11">
        <f>E24*AE24</f>
        <v>0</v>
      </c>
      <c r="AN24" s="11">
        <f>E24*AF24</f>
        <v>0</v>
      </c>
      <c r="AO24" s="12" t="s">
        <v>180</v>
      </c>
      <c r="AP24" s="12" t="s">
        <v>180</v>
      </c>
      <c r="AQ24" s="6" t="s">
        <v>234</v>
      </c>
      <c r="AS24" s="11">
        <f>AM24+AN24</f>
        <v>0</v>
      </c>
      <c r="AT24" s="11">
        <f>F24/(100-AU24)*100</f>
        <v>0</v>
      </c>
      <c r="AU24" s="11">
        <v>0</v>
      </c>
      <c r="AV24" s="11">
        <f>K24</f>
        <v>0.0006000000000000001</v>
      </c>
    </row>
    <row r="25" spans="1:14" ht="12.75">
      <c r="A25" s="39"/>
      <c r="B25" s="39"/>
      <c r="C25" s="63" t="s">
        <v>1273</v>
      </c>
      <c r="D25" s="39"/>
      <c r="E25" s="64">
        <v>20</v>
      </c>
      <c r="F25" s="39"/>
      <c r="G25" s="39"/>
      <c r="H25" s="39"/>
      <c r="I25" s="39"/>
      <c r="J25" s="39"/>
      <c r="K25" s="39"/>
      <c r="L25" s="39"/>
      <c r="M25" s="39"/>
      <c r="N25" s="39"/>
    </row>
    <row r="26" spans="1:48" ht="12.75">
      <c r="A26" s="59" t="s">
        <v>504</v>
      </c>
      <c r="B26" s="59" t="s">
        <v>879</v>
      </c>
      <c r="C26" s="59" t="s">
        <v>1274</v>
      </c>
      <c r="D26" s="59" t="s">
        <v>141</v>
      </c>
      <c r="E26" s="60">
        <v>10.033</v>
      </c>
      <c r="F26" s="61"/>
      <c r="G26" s="61">
        <f>E26*AE26</f>
        <v>0</v>
      </c>
      <c r="H26" s="61">
        <f>I26-G26</f>
        <v>0</v>
      </c>
      <c r="I26" s="61">
        <f>E26*F26</f>
        <v>0</v>
      </c>
      <c r="J26" s="61">
        <v>0</v>
      </c>
      <c r="K26" s="61">
        <f>E26*J26</f>
        <v>0</v>
      </c>
      <c r="L26" s="62" t="s">
        <v>170</v>
      </c>
      <c r="M26" s="39"/>
      <c r="N26" s="39"/>
      <c r="P26" s="11">
        <f>IF(AG26="5",I26,0)</f>
        <v>0</v>
      </c>
      <c r="R26" s="11">
        <f>IF(AG26="1",G26,0)</f>
        <v>0</v>
      </c>
      <c r="S26" s="11">
        <f>IF(AG26="1",H26,0)</f>
        <v>0</v>
      </c>
      <c r="T26" s="11">
        <f>IF(AG26="7",G26,0)</f>
        <v>0</v>
      </c>
      <c r="U26" s="11">
        <f>IF(AG26="7",H26,0)</f>
        <v>0</v>
      </c>
      <c r="V26" s="11">
        <f>IF(AG26="2",G26,0)</f>
        <v>0</v>
      </c>
      <c r="W26" s="11">
        <f>IF(AG26="2",H26,0)</f>
        <v>0</v>
      </c>
      <c r="X26" s="11">
        <f>IF(AG26="0",I26,0)</f>
        <v>0</v>
      </c>
      <c r="Y26" s="6"/>
      <c r="Z26" s="4">
        <f>IF(AD26=0,I26,0)</f>
        <v>0</v>
      </c>
      <c r="AA26" s="4">
        <f>IF(AD26=15,I26,0)</f>
        <v>0</v>
      </c>
      <c r="AB26" s="4">
        <f>IF(AD26=21,I26,0)</f>
        <v>0</v>
      </c>
      <c r="AD26" s="11">
        <v>21</v>
      </c>
      <c r="AE26" s="11">
        <f>F26*0</f>
        <v>0</v>
      </c>
      <c r="AF26" s="11">
        <f>F26*(1-0)</f>
        <v>0</v>
      </c>
      <c r="AG26" s="7" t="s">
        <v>498</v>
      </c>
      <c r="AM26" s="11">
        <f>E26*AE26</f>
        <v>0</v>
      </c>
      <c r="AN26" s="11">
        <f>E26*AF26</f>
        <v>0</v>
      </c>
      <c r="AO26" s="12" t="s">
        <v>180</v>
      </c>
      <c r="AP26" s="12" t="s">
        <v>180</v>
      </c>
      <c r="AQ26" s="6" t="s">
        <v>234</v>
      </c>
      <c r="AS26" s="11">
        <f>AM26+AN26</f>
        <v>0</v>
      </c>
      <c r="AT26" s="11">
        <f>F26/(100-AU26)*100</f>
        <v>0</v>
      </c>
      <c r="AU26" s="11">
        <v>0</v>
      </c>
      <c r="AV26" s="11">
        <f>K26</f>
        <v>0</v>
      </c>
    </row>
    <row r="27" spans="1:14" ht="12.75">
      <c r="A27" s="39"/>
      <c r="B27" s="39"/>
      <c r="C27" s="63" t="s">
        <v>1275</v>
      </c>
      <c r="D27" s="39"/>
      <c r="E27" s="64">
        <v>10.033</v>
      </c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12.75">
      <c r="A28" s="39"/>
      <c r="B28" s="65" t="s">
        <v>872</v>
      </c>
      <c r="C28" s="303" t="s">
        <v>1276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9"/>
      <c r="N28" s="39"/>
    </row>
    <row r="29" spans="1:37" ht="12.75">
      <c r="A29" s="66"/>
      <c r="B29" s="67" t="s">
        <v>524</v>
      </c>
      <c r="C29" s="305" t="s">
        <v>1277</v>
      </c>
      <c r="D29" s="306"/>
      <c r="E29" s="306"/>
      <c r="F29" s="306"/>
      <c r="G29" s="68">
        <f>SUM(G30:G32)</f>
        <v>0</v>
      </c>
      <c r="H29" s="68">
        <f>SUM(H30:H32)</f>
        <v>0</v>
      </c>
      <c r="I29" s="68">
        <f>G29+H29</f>
        <v>0</v>
      </c>
      <c r="J29" s="69"/>
      <c r="K29" s="68">
        <f>SUM(K30:K32)</f>
        <v>19.111725</v>
      </c>
      <c r="L29" s="69"/>
      <c r="M29" s="39"/>
      <c r="N29" s="39"/>
      <c r="Y29" s="6"/>
      <c r="AI29" s="13">
        <f>SUM(Z30:Z32)</f>
        <v>0</v>
      </c>
      <c r="AJ29" s="13">
        <f>SUM(AA30:AA32)</f>
        <v>0</v>
      </c>
      <c r="AK29" s="13">
        <f>SUM(AB30:AB32)</f>
        <v>0</v>
      </c>
    </row>
    <row r="30" spans="1:48" ht="12.75">
      <c r="A30" s="59" t="s">
        <v>505</v>
      </c>
      <c r="B30" s="59" t="s">
        <v>880</v>
      </c>
      <c r="C30" s="59" t="s">
        <v>1278</v>
      </c>
      <c r="D30" s="59" t="s">
        <v>141</v>
      </c>
      <c r="E30" s="60">
        <v>0.541</v>
      </c>
      <c r="F30" s="61"/>
      <c r="G30" s="61">
        <f>E30*AE30</f>
        <v>0</v>
      </c>
      <c r="H30" s="61">
        <f>I30-G30</f>
        <v>0</v>
      </c>
      <c r="I30" s="61">
        <f>E30*F30</f>
        <v>0</v>
      </c>
      <c r="J30" s="61">
        <v>2.525</v>
      </c>
      <c r="K30" s="61">
        <f>E30*J30</f>
        <v>1.366025</v>
      </c>
      <c r="L30" s="62" t="s">
        <v>170</v>
      </c>
      <c r="M30" s="39"/>
      <c r="N30" s="39"/>
      <c r="P30" s="11">
        <f>IF(AG30="5",I30,0)</f>
        <v>0</v>
      </c>
      <c r="R30" s="11">
        <f>IF(AG30="1",G30,0)</f>
        <v>0</v>
      </c>
      <c r="S30" s="11">
        <f>IF(AG30="1",H30,0)</f>
        <v>0</v>
      </c>
      <c r="T30" s="11">
        <f>IF(AG30="7",G30,0)</f>
        <v>0</v>
      </c>
      <c r="U30" s="11">
        <f>IF(AG30="7",H30,0)</f>
        <v>0</v>
      </c>
      <c r="V30" s="11">
        <f>IF(AG30="2",G30,0)</f>
        <v>0</v>
      </c>
      <c r="W30" s="11">
        <f>IF(AG30="2",H30,0)</f>
        <v>0</v>
      </c>
      <c r="X30" s="11">
        <f>IF(AG30="0",I30,0)</f>
        <v>0</v>
      </c>
      <c r="Y30" s="6"/>
      <c r="Z30" s="4">
        <f>IF(AD30=0,I30,0)</f>
        <v>0</v>
      </c>
      <c r="AA30" s="4">
        <f>IF(AD30=15,I30,0)</f>
        <v>0</v>
      </c>
      <c r="AB30" s="4">
        <f>IF(AD30=21,I30,0)</f>
        <v>0</v>
      </c>
      <c r="AD30" s="11">
        <v>21</v>
      </c>
      <c r="AE30" s="11">
        <f>F30*0.895087959582583</f>
        <v>0</v>
      </c>
      <c r="AF30" s="11">
        <f>F30*(1-0.895087959582583)</f>
        <v>0</v>
      </c>
      <c r="AG30" s="7" t="s">
        <v>498</v>
      </c>
      <c r="AM30" s="11">
        <f>E30*AE30</f>
        <v>0</v>
      </c>
      <c r="AN30" s="11">
        <f>E30*AF30</f>
        <v>0</v>
      </c>
      <c r="AO30" s="12" t="s">
        <v>181</v>
      </c>
      <c r="AP30" s="12" t="s">
        <v>221</v>
      </c>
      <c r="AQ30" s="6" t="s">
        <v>234</v>
      </c>
      <c r="AS30" s="11">
        <f>AM30+AN30</f>
        <v>0</v>
      </c>
      <c r="AT30" s="11">
        <f>F30/(100-AU30)*100</f>
        <v>0</v>
      </c>
      <c r="AU30" s="11">
        <v>0</v>
      </c>
      <c r="AV30" s="11">
        <f>K30</f>
        <v>1.366025</v>
      </c>
    </row>
    <row r="31" spans="1:14" ht="12.75">
      <c r="A31" s="39"/>
      <c r="B31" s="39"/>
      <c r="C31" s="63" t="s">
        <v>1279</v>
      </c>
      <c r="D31" s="39"/>
      <c r="E31" s="64">
        <v>0.541</v>
      </c>
      <c r="F31" s="39"/>
      <c r="G31" s="39"/>
      <c r="H31" s="39"/>
      <c r="I31" s="39"/>
      <c r="J31" s="39"/>
      <c r="K31" s="39"/>
      <c r="L31" s="39"/>
      <c r="M31" s="39"/>
      <c r="N31" s="39"/>
    </row>
    <row r="32" spans="1:48" ht="12.75">
      <c r="A32" s="59" t="s">
        <v>506</v>
      </c>
      <c r="B32" s="59" t="s">
        <v>881</v>
      </c>
      <c r="C32" s="59" t="s">
        <v>1280</v>
      </c>
      <c r="D32" s="59" t="s">
        <v>141</v>
      </c>
      <c r="E32" s="60">
        <v>7.028</v>
      </c>
      <c r="F32" s="61"/>
      <c r="G32" s="61">
        <f>E32*AE32</f>
        <v>0</v>
      </c>
      <c r="H32" s="61">
        <f>I32-G32</f>
        <v>0</v>
      </c>
      <c r="I32" s="61">
        <f>E32*F32</f>
        <v>0</v>
      </c>
      <c r="J32" s="61">
        <v>2.525</v>
      </c>
      <c r="K32" s="61">
        <f>E32*J32</f>
        <v>17.7457</v>
      </c>
      <c r="L32" s="62" t="s">
        <v>170</v>
      </c>
      <c r="M32" s="39"/>
      <c r="N32" s="39"/>
      <c r="P32" s="11">
        <f>IF(AG32="5",I32,0)</f>
        <v>0</v>
      </c>
      <c r="R32" s="11">
        <f>IF(AG32="1",G32,0)</f>
        <v>0</v>
      </c>
      <c r="S32" s="11">
        <f>IF(AG32="1",H32,0)</f>
        <v>0</v>
      </c>
      <c r="T32" s="11">
        <f>IF(AG32="7",G32,0)</f>
        <v>0</v>
      </c>
      <c r="U32" s="11">
        <f>IF(AG32="7",H32,0)</f>
        <v>0</v>
      </c>
      <c r="V32" s="11">
        <f>IF(AG32="2",G32,0)</f>
        <v>0</v>
      </c>
      <c r="W32" s="11">
        <f>IF(AG32="2",H32,0)</f>
        <v>0</v>
      </c>
      <c r="X32" s="11">
        <f>IF(AG32="0",I32,0)</f>
        <v>0</v>
      </c>
      <c r="Y32" s="6"/>
      <c r="Z32" s="4">
        <f>IF(AD32=0,I32,0)</f>
        <v>0</v>
      </c>
      <c r="AA32" s="4">
        <f>IF(AD32=15,I32,0)</f>
        <v>0</v>
      </c>
      <c r="AB32" s="4">
        <f>IF(AD32=21,I32,0)</f>
        <v>0</v>
      </c>
      <c r="AD32" s="11">
        <v>21</v>
      </c>
      <c r="AE32" s="11">
        <f>F32*0.905386116098634</f>
        <v>0</v>
      </c>
      <c r="AF32" s="11">
        <f>F32*(1-0.905386116098634)</f>
        <v>0</v>
      </c>
      <c r="AG32" s="7" t="s">
        <v>498</v>
      </c>
      <c r="AM32" s="11">
        <f>E32*AE32</f>
        <v>0</v>
      </c>
      <c r="AN32" s="11">
        <f>E32*AF32</f>
        <v>0</v>
      </c>
      <c r="AO32" s="12" t="s">
        <v>181</v>
      </c>
      <c r="AP32" s="12" t="s">
        <v>221</v>
      </c>
      <c r="AQ32" s="6" t="s">
        <v>234</v>
      </c>
      <c r="AS32" s="11">
        <f>AM32+AN32</f>
        <v>0</v>
      </c>
      <c r="AT32" s="11">
        <f>F32/(100-AU32)*100</f>
        <v>0</v>
      </c>
      <c r="AU32" s="11">
        <v>0</v>
      </c>
      <c r="AV32" s="11">
        <f>K32</f>
        <v>17.7457</v>
      </c>
    </row>
    <row r="33" spans="1:14" ht="12.75">
      <c r="A33" s="39"/>
      <c r="B33" s="39"/>
      <c r="C33" s="63" t="s">
        <v>1281</v>
      </c>
      <c r="D33" s="39"/>
      <c r="E33" s="64">
        <v>7.028</v>
      </c>
      <c r="F33" s="39"/>
      <c r="G33" s="39"/>
      <c r="H33" s="39"/>
      <c r="I33" s="39"/>
      <c r="J33" s="39"/>
      <c r="K33" s="39"/>
      <c r="L33" s="39"/>
      <c r="M33" s="39"/>
      <c r="N33" s="39"/>
    </row>
    <row r="34" spans="1:37" ht="12.75">
      <c r="A34" s="66"/>
      <c r="B34" s="67" t="s">
        <v>525</v>
      </c>
      <c r="C34" s="305" t="s">
        <v>1282</v>
      </c>
      <c r="D34" s="306"/>
      <c r="E34" s="306"/>
      <c r="F34" s="306"/>
      <c r="G34" s="68">
        <f>SUM(G35:G35)</f>
        <v>0</v>
      </c>
      <c r="H34" s="68">
        <f>SUM(H35:H35)</f>
        <v>0</v>
      </c>
      <c r="I34" s="68">
        <f>G34+H34</f>
        <v>0</v>
      </c>
      <c r="J34" s="69"/>
      <c r="K34" s="68">
        <f>SUM(K35:K35)</f>
        <v>0.0031290000000000003</v>
      </c>
      <c r="L34" s="69"/>
      <c r="M34" s="39"/>
      <c r="N34" s="39"/>
      <c r="Y34" s="6"/>
      <c r="AI34" s="13">
        <f>SUM(Z35:Z35)</f>
        <v>0</v>
      </c>
      <c r="AJ34" s="13">
        <f>SUM(AA35:AA35)</f>
        <v>0</v>
      </c>
      <c r="AK34" s="13">
        <f>SUM(AB35:AB35)</f>
        <v>0</v>
      </c>
    </row>
    <row r="35" spans="1:48" ht="12.75">
      <c r="A35" s="59" t="s">
        <v>507</v>
      </c>
      <c r="B35" s="59" t="s">
        <v>882</v>
      </c>
      <c r="C35" s="59" t="s">
        <v>1283</v>
      </c>
      <c r="D35" s="59" t="s">
        <v>142</v>
      </c>
      <c r="E35" s="60">
        <v>6.258</v>
      </c>
      <c r="F35" s="61"/>
      <c r="G35" s="61">
        <f>E35*AE35</f>
        <v>0</v>
      </c>
      <c r="H35" s="61">
        <f>I35-G35</f>
        <v>0</v>
      </c>
      <c r="I35" s="61">
        <f>E35*F35</f>
        <v>0</v>
      </c>
      <c r="J35" s="61">
        <v>0.0005</v>
      </c>
      <c r="K35" s="61">
        <f>E35*J35</f>
        <v>0.0031290000000000003</v>
      </c>
      <c r="L35" s="62" t="s">
        <v>170</v>
      </c>
      <c r="M35" s="39"/>
      <c r="N35" s="39"/>
      <c r="P35" s="11">
        <f>IF(AG35="5",I35,0)</f>
        <v>0</v>
      </c>
      <c r="R35" s="11">
        <f>IF(AG35="1",G35,0)</f>
        <v>0</v>
      </c>
      <c r="S35" s="11">
        <f>IF(AG35="1",H35,0)</f>
        <v>0</v>
      </c>
      <c r="T35" s="11">
        <f>IF(AG35="7",G35,0)</f>
        <v>0</v>
      </c>
      <c r="U35" s="11">
        <f>IF(AG35="7",H35,0)</f>
        <v>0</v>
      </c>
      <c r="V35" s="11">
        <f>IF(AG35="2",G35,0)</f>
        <v>0</v>
      </c>
      <c r="W35" s="11">
        <f>IF(AG35="2",H35,0)</f>
        <v>0</v>
      </c>
      <c r="X35" s="11">
        <f>IF(AG35="0",I35,0)</f>
        <v>0</v>
      </c>
      <c r="Y35" s="6"/>
      <c r="Z35" s="4">
        <f>IF(AD35=0,I35,0)</f>
        <v>0</v>
      </c>
      <c r="AA35" s="4">
        <f>IF(AD35=15,I35,0)</f>
        <v>0</v>
      </c>
      <c r="AB35" s="4">
        <f>IF(AD35=21,I35,0)</f>
        <v>0</v>
      </c>
      <c r="AD35" s="11">
        <v>21</v>
      </c>
      <c r="AE35" s="11">
        <f>F35*0.327669641896978</f>
        <v>0</v>
      </c>
      <c r="AF35" s="11">
        <f>F35*(1-0.327669641896978)</f>
        <v>0</v>
      </c>
      <c r="AG35" s="7" t="s">
        <v>498</v>
      </c>
      <c r="AM35" s="11">
        <f>E35*AE35</f>
        <v>0</v>
      </c>
      <c r="AN35" s="11">
        <f>E35*AF35</f>
        <v>0</v>
      </c>
      <c r="AO35" s="12" t="s">
        <v>182</v>
      </c>
      <c r="AP35" s="12" t="s">
        <v>221</v>
      </c>
      <c r="AQ35" s="6" t="s">
        <v>234</v>
      </c>
      <c r="AS35" s="11">
        <f>AM35+AN35</f>
        <v>0</v>
      </c>
      <c r="AT35" s="11">
        <f>F35/(100-AU35)*100</f>
        <v>0</v>
      </c>
      <c r="AU35" s="11">
        <v>0</v>
      </c>
      <c r="AV35" s="11">
        <f>K35</f>
        <v>0.0031290000000000003</v>
      </c>
    </row>
    <row r="36" spans="1:14" ht="12.75">
      <c r="A36" s="39"/>
      <c r="B36" s="39"/>
      <c r="C36" s="63" t="s">
        <v>1284</v>
      </c>
      <c r="D36" s="39"/>
      <c r="E36" s="64">
        <v>6.258</v>
      </c>
      <c r="F36" s="39"/>
      <c r="G36" s="39"/>
      <c r="H36" s="39"/>
      <c r="I36" s="39"/>
      <c r="J36" s="39"/>
      <c r="K36" s="39"/>
      <c r="L36" s="39"/>
      <c r="M36" s="39"/>
      <c r="N36" s="39"/>
    </row>
    <row r="37" spans="1:37" ht="12.75">
      <c r="A37" s="66"/>
      <c r="B37" s="67" t="s">
        <v>528</v>
      </c>
      <c r="C37" s="305" t="s">
        <v>1285</v>
      </c>
      <c r="D37" s="306"/>
      <c r="E37" s="306"/>
      <c r="F37" s="306"/>
      <c r="G37" s="68">
        <f>SUM(G38:G69)</f>
        <v>0</v>
      </c>
      <c r="H37" s="68">
        <f>SUM(H38:H69)</f>
        <v>0</v>
      </c>
      <c r="I37" s="68">
        <f>G37+H37</f>
        <v>0</v>
      </c>
      <c r="J37" s="69"/>
      <c r="K37" s="68">
        <f>SUM(K38:K69)</f>
        <v>29.21335302</v>
      </c>
      <c r="L37" s="69"/>
      <c r="M37" s="39"/>
      <c r="N37" s="39"/>
      <c r="Y37" s="6"/>
      <c r="AI37" s="13">
        <f>SUM(Z38:Z69)</f>
        <v>0</v>
      </c>
      <c r="AJ37" s="13">
        <f>SUM(AA38:AA69)</f>
        <v>0</v>
      </c>
      <c r="AK37" s="13">
        <f>SUM(AB38:AB69)</f>
        <v>0</v>
      </c>
    </row>
    <row r="38" spans="1:48" ht="12.75">
      <c r="A38" s="59" t="s">
        <v>508</v>
      </c>
      <c r="B38" s="59" t="s">
        <v>883</v>
      </c>
      <c r="C38" s="59" t="s">
        <v>1286</v>
      </c>
      <c r="D38" s="59" t="s">
        <v>142</v>
      </c>
      <c r="E38" s="60">
        <v>51.926</v>
      </c>
      <c r="F38" s="61"/>
      <c r="G38" s="61">
        <f>E38*AE38</f>
        <v>0</v>
      </c>
      <c r="H38" s="61">
        <f>I38-G38</f>
        <v>0</v>
      </c>
      <c r="I38" s="61">
        <f>E38*F38</f>
        <v>0</v>
      </c>
      <c r="J38" s="61">
        <v>0.22351</v>
      </c>
      <c r="K38" s="61">
        <f>E38*J38</f>
        <v>11.605980259999999</v>
      </c>
      <c r="L38" s="62" t="s">
        <v>170</v>
      </c>
      <c r="M38" s="39"/>
      <c r="N38" s="39"/>
      <c r="P38" s="11">
        <f>IF(AG38="5",I38,0)</f>
        <v>0</v>
      </c>
      <c r="R38" s="11">
        <f>IF(AG38="1",G38,0)</f>
        <v>0</v>
      </c>
      <c r="S38" s="11">
        <f>IF(AG38="1",H38,0)</f>
        <v>0</v>
      </c>
      <c r="T38" s="11">
        <f>IF(AG38="7",G38,0)</f>
        <v>0</v>
      </c>
      <c r="U38" s="11">
        <f>IF(AG38="7",H38,0)</f>
        <v>0</v>
      </c>
      <c r="V38" s="11">
        <f>IF(AG38="2",G38,0)</f>
        <v>0</v>
      </c>
      <c r="W38" s="11">
        <f>IF(AG38="2",H38,0)</f>
        <v>0</v>
      </c>
      <c r="X38" s="11">
        <f>IF(AG38="0",I38,0)</f>
        <v>0</v>
      </c>
      <c r="Y38" s="6"/>
      <c r="Z38" s="4">
        <f>IF(AD38=0,I38,0)</f>
        <v>0</v>
      </c>
      <c r="AA38" s="4">
        <f>IF(AD38=15,I38,0)</f>
        <v>0</v>
      </c>
      <c r="AB38" s="4">
        <f>IF(AD38=21,I38,0)</f>
        <v>0</v>
      </c>
      <c r="AD38" s="11">
        <v>21</v>
      </c>
      <c r="AE38" s="11">
        <f>F38*0.743313817330211</f>
        <v>0</v>
      </c>
      <c r="AF38" s="11">
        <f>F38*(1-0.743313817330211)</f>
        <v>0</v>
      </c>
      <c r="AG38" s="7" t="s">
        <v>498</v>
      </c>
      <c r="AM38" s="11">
        <f>E38*AE38</f>
        <v>0</v>
      </c>
      <c r="AN38" s="11">
        <f>E38*AF38</f>
        <v>0</v>
      </c>
      <c r="AO38" s="12" t="s">
        <v>183</v>
      </c>
      <c r="AP38" s="12" t="s">
        <v>222</v>
      </c>
      <c r="AQ38" s="6" t="s">
        <v>234</v>
      </c>
      <c r="AS38" s="11">
        <f>AM38+AN38</f>
        <v>0</v>
      </c>
      <c r="AT38" s="11">
        <f>F38/(100-AU38)*100</f>
        <v>0</v>
      </c>
      <c r="AU38" s="11">
        <v>0</v>
      </c>
      <c r="AV38" s="11">
        <f>K38</f>
        <v>11.605980259999999</v>
      </c>
    </row>
    <row r="39" spans="1:14" ht="12.75">
      <c r="A39" s="39"/>
      <c r="B39" s="39"/>
      <c r="C39" s="63" t="s">
        <v>1287</v>
      </c>
      <c r="D39" s="39"/>
      <c r="E39" s="64">
        <v>51.926</v>
      </c>
      <c r="F39" s="39"/>
      <c r="G39" s="39"/>
      <c r="H39" s="39"/>
      <c r="I39" s="39"/>
      <c r="J39" s="39"/>
      <c r="K39" s="39"/>
      <c r="L39" s="39"/>
      <c r="M39" s="39"/>
      <c r="N39" s="39"/>
    </row>
    <row r="40" spans="1:48" ht="12.75">
      <c r="A40" s="59" t="s">
        <v>509</v>
      </c>
      <c r="B40" s="59" t="s">
        <v>884</v>
      </c>
      <c r="C40" s="59" t="s">
        <v>1288</v>
      </c>
      <c r="D40" s="59" t="s">
        <v>141</v>
      </c>
      <c r="E40" s="60">
        <v>11.461</v>
      </c>
      <c r="F40" s="61"/>
      <c r="G40" s="61">
        <f>E40*AE40</f>
        <v>0</v>
      </c>
      <c r="H40" s="61">
        <f>I40-G40</f>
        <v>0</v>
      </c>
      <c r="I40" s="61">
        <f>E40*F40</f>
        <v>0</v>
      </c>
      <c r="J40" s="61">
        <v>0.7589</v>
      </c>
      <c r="K40" s="61">
        <f>E40*J40</f>
        <v>8.697752900000001</v>
      </c>
      <c r="L40" s="62" t="s">
        <v>170</v>
      </c>
      <c r="M40" s="39"/>
      <c r="N40" s="39"/>
      <c r="P40" s="11">
        <f>IF(AG40="5",I40,0)</f>
        <v>0</v>
      </c>
      <c r="R40" s="11">
        <f>IF(AG40="1",G40,0)</f>
        <v>0</v>
      </c>
      <c r="S40" s="11">
        <f>IF(AG40="1",H40,0)</f>
        <v>0</v>
      </c>
      <c r="T40" s="11">
        <f>IF(AG40="7",G40,0)</f>
        <v>0</v>
      </c>
      <c r="U40" s="11">
        <f>IF(AG40="7",H40,0)</f>
        <v>0</v>
      </c>
      <c r="V40" s="11">
        <f>IF(AG40="2",G40,0)</f>
        <v>0</v>
      </c>
      <c r="W40" s="11">
        <f>IF(AG40="2",H40,0)</f>
        <v>0</v>
      </c>
      <c r="X40" s="11">
        <f>IF(AG40="0",I40,0)</f>
        <v>0</v>
      </c>
      <c r="Y40" s="6"/>
      <c r="Z40" s="4">
        <f>IF(AD40=0,I40,0)</f>
        <v>0</v>
      </c>
      <c r="AA40" s="4">
        <f>IF(AD40=15,I40,0)</f>
        <v>0</v>
      </c>
      <c r="AB40" s="4">
        <f>IF(AD40=21,I40,0)</f>
        <v>0</v>
      </c>
      <c r="AD40" s="11">
        <v>21</v>
      </c>
      <c r="AE40" s="11">
        <f>F40*0.697210781185687</f>
        <v>0</v>
      </c>
      <c r="AF40" s="11">
        <f>F40*(1-0.697210781185687)</f>
        <v>0</v>
      </c>
      <c r="AG40" s="7" t="s">
        <v>498</v>
      </c>
      <c r="AM40" s="11">
        <f>E40*AE40</f>
        <v>0</v>
      </c>
      <c r="AN40" s="11">
        <f>E40*AF40</f>
        <v>0</v>
      </c>
      <c r="AO40" s="12" t="s">
        <v>183</v>
      </c>
      <c r="AP40" s="12" t="s">
        <v>222</v>
      </c>
      <c r="AQ40" s="6" t="s">
        <v>234</v>
      </c>
      <c r="AS40" s="11">
        <f>AM40+AN40</f>
        <v>0</v>
      </c>
      <c r="AT40" s="11">
        <f>F40/(100-AU40)*100</f>
        <v>0</v>
      </c>
      <c r="AU40" s="11">
        <v>0</v>
      </c>
      <c r="AV40" s="11">
        <f>K40</f>
        <v>8.697752900000001</v>
      </c>
    </row>
    <row r="41" spans="1:14" ht="12.75">
      <c r="A41" s="39"/>
      <c r="B41" s="39"/>
      <c r="C41" s="63" t="s">
        <v>1289</v>
      </c>
      <c r="D41" s="39"/>
      <c r="E41" s="64">
        <v>2.174</v>
      </c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12.75">
      <c r="A42" s="39"/>
      <c r="B42" s="39"/>
      <c r="C42" s="63" t="s">
        <v>1290</v>
      </c>
      <c r="D42" s="39"/>
      <c r="E42" s="64">
        <v>9.287</v>
      </c>
      <c r="F42" s="39"/>
      <c r="G42" s="39"/>
      <c r="H42" s="39"/>
      <c r="I42" s="39"/>
      <c r="J42" s="39"/>
      <c r="K42" s="39"/>
      <c r="L42" s="39"/>
      <c r="M42" s="39"/>
      <c r="N42" s="39"/>
    </row>
    <row r="43" spans="1:48" ht="12.75">
      <c r="A43" s="59" t="s">
        <v>510</v>
      </c>
      <c r="B43" s="59" t="s">
        <v>885</v>
      </c>
      <c r="C43" s="59" t="s">
        <v>1291</v>
      </c>
      <c r="D43" s="59" t="s">
        <v>142</v>
      </c>
      <c r="E43" s="60">
        <v>28.578</v>
      </c>
      <c r="F43" s="61"/>
      <c r="G43" s="61">
        <f>E43*AE43</f>
        <v>0</v>
      </c>
      <c r="H43" s="61">
        <f>I43-G43</f>
        <v>0</v>
      </c>
      <c r="I43" s="61">
        <f>E43*F43</f>
        <v>0</v>
      </c>
      <c r="J43" s="61">
        <v>0.17471</v>
      </c>
      <c r="K43" s="61">
        <f>E43*J43</f>
        <v>4.99286238</v>
      </c>
      <c r="L43" s="62" t="s">
        <v>170</v>
      </c>
      <c r="M43" s="39"/>
      <c r="N43" s="39"/>
      <c r="P43" s="11">
        <f>IF(AG43="5",I43,0)</f>
        <v>0</v>
      </c>
      <c r="R43" s="11">
        <f>IF(AG43="1",G43,0)</f>
        <v>0</v>
      </c>
      <c r="S43" s="11">
        <f>IF(AG43="1",H43,0)</f>
        <v>0</v>
      </c>
      <c r="T43" s="11">
        <f>IF(AG43="7",G43,0)</f>
        <v>0</v>
      </c>
      <c r="U43" s="11">
        <f>IF(AG43="7",H43,0)</f>
        <v>0</v>
      </c>
      <c r="V43" s="11">
        <f>IF(AG43="2",G43,0)</f>
        <v>0</v>
      </c>
      <c r="W43" s="11">
        <f>IF(AG43="2",H43,0)</f>
        <v>0</v>
      </c>
      <c r="X43" s="11">
        <f>IF(AG43="0",I43,0)</f>
        <v>0</v>
      </c>
      <c r="Y43" s="6"/>
      <c r="Z43" s="4">
        <f>IF(AD43=0,I43,0)</f>
        <v>0</v>
      </c>
      <c r="AA43" s="4">
        <f>IF(AD43=15,I43,0)</f>
        <v>0</v>
      </c>
      <c r="AB43" s="4">
        <f>IF(AD43=21,I43,0)</f>
        <v>0</v>
      </c>
      <c r="AD43" s="11">
        <v>21</v>
      </c>
      <c r="AE43" s="11">
        <f>F43*0.671078431372549</f>
        <v>0</v>
      </c>
      <c r="AF43" s="11">
        <f>F43*(1-0.671078431372549)</f>
        <v>0</v>
      </c>
      <c r="AG43" s="7" t="s">
        <v>498</v>
      </c>
      <c r="AM43" s="11">
        <f>E43*AE43</f>
        <v>0</v>
      </c>
      <c r="AN43" s="11">
        <f>E43*AF43</f>
        <v>0</v>
      </c>
      <c r="AO43" s="12" t="s">
        <v>183</v>
      </c>
      <c r="AP43" s="12" t="s">
        <v>222</v>
      </c>
      <c r="AQ43" s="6" t="s">
        <v>234</v>
      </c>
      <c r="AS43" s="11">
        <f>AM43+AN43</f>
        <v>0</v>
      </c>
      <c r="AT43" s="11">
        <f>F43/(100-AU43)*100</f>
        <v>0</v>
      </c>
      <c r="AU43" s="11">
        <v>0</v>
      </c>
      <c r="AV43" s="11">
        <f>K43</f>
        <v>4.99286238</v>
      </c>
    </row>
    <row r="44" spans="1:14" ht="12.75">
      <c r="A44" s="39"/>
      <c r="B44" s="39"/>
      <c r="C44" s="63" t="s">
        <v>1292</v>
      </c>
      <c r="D44" s="39"/>
      <c r="E44" s="64">
        <v>28.578</v>
      </c>
      <c r="F44" s="39"/>
      <c r="G44" s="39"/>
      <c r="H44" s="39"/>
      <c r="I44" s="39"/>
      <c r="J44" s="39"/>
      <c r="K44" s="39"/>
      <c r="L44" s="39"/>
      <c r="M44" s="39"/>
      <c r="N44" s="39"/>
    </row>
    <row r="45" spans="1:48" ht="12.75">
      <c r="A45" s="59" t="s">
        <v>511</v>
      </c>
      <c r="B45" s="59" t="s">
        <v>886</v>
      </c>
      <c r="C45" s="59" t="s">
        <v>1293</v>
      </c>
      <c r="D45" s="59" t="s">
        <v>143</v>
      </c>
      <c r="E45" s="60">
        <v>0.201</v>
      </c>
      <c r="F45" s="61"/>
      <c r="G45" s="61">
        <f>E45*AE45</f>
        <v>0</v>
      </c>
      <c r="H45" s="61">
        <f>I45-G45</f>
        <v>0</v>
      </c>
      <c r="I45" s="61">
        <f>E45*F45</f>
        <v>0</v>
      </c>
      <c r="J45" s="61">
        <v>1.09</v>
      </c>
      <c r="K45" s="61">
        <f>E45*J45</f>
        <v>0.21909000000000003</v>
      </c>
      <c r="L45" s="62" t="s">
        <v>170</v>
      </c>
      <c r="M45" s="39"/>
      <c r="N45" s="39"/>
      <c r="P45" s="11">
        <f>IF(AG45="5",I45,0)</f>
        <v>0</v>
      </c>
      <c r="R45" s="11">
        <f>IF(AG45="1",G45,0)</f>
        <v>0</v>
      </c>
      <c r="S45" s="11">
        <f>IF(AG45="1",H45,0)</f>
        <v>0</v>
      </c>
      <c r="T45" s="11">
        <f>IF(AG45="7",G45,0)</f>
        <v>0</v>
      </c>
      <c r="U45" s="11">
        <f>IF(AG45="7",H45,0)</f>
        <v>0</v>
      </c>
      <c r="V45" s="11">
        <f>IF(AG45="2",G45,0)</f>
        <v>0</v>
      </c>
      <c r="W45" s="11">
        <f>IF(AG45="2",H45,0)</f>
        <v>0</v>
      </c>
      <c r="X45" s="11">
        <f>IF(AG45="0",I45,0)</f>
        <v>0</v>
      </c>
      <c r="Y45" s="6"/>
      <c r="Z45" s="4">
        <f>IF(AD45=0,I45,0)</f>
        <v>0</v>
      </c>
      <c r="AA45" s="4">
        <f>IF(AD45=15,I45,0)</f>
        <v>0</v>
      </c>
      <c r="AB45" s="4">
        <f>IF(AD45=21,I45,0)</f>
        <v>0</v>
      </c>
      <c r="AD45" s="11">
        <v>21</v>
      </c>
      <c r="AE45" s="11">
        <f>F45*0.755327423167849</f>
        <v>0</v>
      </c>
      <c r="AF45" s="11">
        <f>F45*(1-0.755327423167849)</f>
        <v>0</v>
      </c>
      <c r="AG45" s="7" t="s">
        <v>498</v>
      </c>
      <c r="AM45" s="11">
        <f>E45*AE45</f>
        <v>0</v>
      </c>
      <c r="AN45" s="11">
        <f>E45*AF45</f>
        <v>0</v>
      </c>
      <c r="AO45" s="12" t="s">
        <v>183</v>
      </c>
      <c r="AP45" s="12" t="s">
        <v>222</v>
      </c>
      <c r="AQ45" s="6" t="s">
        <v>234</v>
      </c>
      <c r="AS45" s="11">
        <f>AM45+AN45</f>
        <v>0</v>
      </c>
      <c r="AT45" s="11">
        <f>F45/(100-AU45)*100</f>
        <v>0</v>
      </c>
      <c r="AU45" s="11">
        <v>0</v>
      </c>
      <c r="AV45" s="11">
        <f>K45</f>
        <v>0.21909000000000003</v>
      </c>
    </row>
    <row r="46" spans="1:14" ht="12.75">
      <c r="A46" s="39"/>
      <c r="B46" s="39"/>
      <c r="C46" s="63" t="s">
        <v>1294</v>
      </c>
      <c r="D46" s="39"/>
      <c r="E46" s="64">
        <v>0.201</v>
      </c>
      <c r="F46" s="39"/>
      <c r="G46" s="39"/>
      <c r="H46" s="39"/>
      <c r="I46" s="39"/>
      <c r="J46" s="39"/>
      <c r="K46" s="39"/>
      <c r="L46" s="39"/>
      <c r="M46" s="39"/>
      <c r="N46" s="39"/>
    </row>
    <row r="47" spans="1:48" ht="12.75">
      <c r="A47" s="70" t="s">
        <v>512</v>
      </c>
      <c r="B47" s="70" t="s">
        <v>887</v>
      </c>
      <c r="C47" s="70" t="s">
        <v>1295</v>
      </c>
      <c r="D47" s="70" t="s">
        <v>143</v>
      </c>
      <c r="E47" s="71">
        <v>0.217</v>
      </c>
      <c r="F47" s="72"/>
      <c r="G47" s="72">
        <f>E47*AE47</f>
        <v>0</v>
      </c>
      <c r="H47" s="72">
        <f>I47-G47</f>
        <v>0</v>
      </c>
      <c r="I47" s="72">
        <f>E47*F47</f>
        <v>0</v>
      </c>
      <c r="J47" s="72">
        <v>1</v>
      </c>
      <c r="K47" s="72">
        <f>E47*J47</f>
        <v>0.217</v>
      </c>
      <c r="L47" s="73" t="s">
        <v>170</v>
      </c>
      <c r="M47" s="39"/>
      <c r="N47" s="39"/>
      <c r="P47" s="11">
        <f>IF(AG47="5",I47,0)</f>
        <v>0</v>
      </c>
      <c r="R47" s="11">
        <f>IF(AG47="1",G47,0)</f>
        <v>0</v>
      </c>
      <c r="S47" s="11">
        <f>IF(AG47="1",H47,0)</f>
        <v>0</v>
      </c>
      <c r="T47" s="11">
        <f>IF(AG47="7",G47,0)</f>
        <v>0</v>
      </c>
      <c r="U47" s="11">
        <f>IF(AG47="7",H47,0)</f>
        <v>0</v>
      </c>
      <c r="V47" s="11">
        <f>IF(AG47="2",G47,0)</f>
        <v>0</v>
      </c>
      <c r="W47" s="11">
        <f>IF(AG47="2",H47,0)</f>
        <v>0</v>
      </c>
      <c r="X47" s="11">
        <f>IF(AG47="0",I47,0)</f>
        <v>0</v>
      </c>
      <c r="Y47" s="6"/>
      <c r="Z47" s="5">
        <f>IF(AD47=0,I47,0)</f>
        <v>0</v>
      </c>
      <c r="AA47" s="5">
        <f>IF(AD47=15,I47,0)</f>
        <v>0</v>
      </c>
      <c r="AB47" s="5">
        <f>IF(AD47=21,I47,0)</f>
        <v>0</v>
      </c>
      <c r="AD47" s="11">
        <v>21</v>
      </c>
      <c r="AE47" s="11">
        <f>F47*1</f>
        <v>0</v>
      </c>
      <c r="AF47" s="11">
        <f>F47*(1-1)</f>
        <v>0</v>
      </c>
      <c r="AG47" s="8" t="s">
        <v>498</v>
      </c>
      <c r="AM47" s="11">
        <f>E47*AE47</f>
        <v>0</v>
      </c>
      <c r="AN47" s="11">
        <f>E47*AF47</f>
        <v>0</v>
      </c>
      <c r="AO47" s="12" t="s">
        <v>183</v>
      </c>
      <c r="AP47" s="12" t="s">
        <v>222</v>
      </c>
      <c r="AQ47" s="6" t="s">
        <v>234</v>
      </c>
      <c r="AS47" s="11">
        <f>AM47+AN47</f>
        <v>0</v>
      </c>
      <c r="AT47" s="11">
        <f>F47/(100-AU47)*100</f>
        <v>0</v>
      </c>
      <c r="AU47" s="11">
        <v>0</v>
      </c>
      <c r="AV47" s="11">
        <f>K47</f>
        <v>0.217</v>
      </c>
    </row>
    <row r="48" spans="1:14" ht="12.75">
      <c r="A48" s="39"/>
      <c r="B48" s="39"/>
      <c r="C48" s="63" t="s">
        <v>1294</v>
      </c>
      <c r="D48" s="39"/>
      <c r="E48" s="64">
        <v>0.201</v>
      </c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12.75">
      <c r="A49" s="39"/>
      <c r="B49" s="39"/>
      <c r="C49" s="63" t="s">
        <v>1296</v>
      </c>
      <c r="D49" s="39"/>
      <c r="E49" s="64">
        <v>0.016</v>
      </c>
      <c r="F49" s="39"/>
      <c r="G49" s="39"/>
      <c r="H49" s="39"/>
      <c r="I49" s="39"/>
      <c r="J49" s="39"/>
      <c r="K49" s="39"/>
      <c r="L49" s="39"/>
      <c r="M49" s="39"/>
      <c r="N49" s="39"/>
    </row>
    <row r="50" spans="1:48" ht="12.75">
      <c r="A50" s="59" t="s">
        <v>513</v>
      </c>
      <c r="B50" s="59" t="s">
        <v>888</v>
      </c>
      <c r="C50" s="59" t="s">
        <v>1297</v>
      </c>
      <c r="D50" s="59" t="s">
        <v>141</v>
      </c>
      <c r="E50" s="60">
        <v>0.328</v>
      </c>
      <c r="F50" s="61"/>
      <c r="G50" s="61">
        <f>E50*AE50</f>
        <v>0</v>
      </c>
      <c r="H50" s="61">
        <f>I50-G50</f>
        <v>0</v>
      </c>
      <c r="I50" s="61">
        <f>E50*F50</f>
        <v>0</v>
      </c>
      <c r="J50" s="61">
        <v>1.796</v>
      </c>
      <c r="K50" s="61">
        <f>E50*J50</f>
        <v>0.5890880000000001</v>
      </c>
      <c r="L50" s="62" t="s">
        <v>170</v>
      </c>
      <c r="M50" s="39"/>
      <c r="N50" s="39"/>
      <c r="P50" s="11">
        <f>IF(AG50="5",I50,0)</f>
        <v>0</v>
      </c>
      <c r="R50" s="11">
        <f>IF(AG50="1",G50,0)</f>
        <v>0</v>
      </c>
      <c r="S50" s="11">
        <f>IF(AG50="1",H50,0)</f>
        <v>0</v>
      </c>
      <c r="T50" s="11">
        <f>IF(AG50="7",G50,0)</f>
        <v>0</v>
      </c>
      <c r="U50" s="11">
        <f>IF(AG50="7",H50,0)</f>
        <v>0</v>
      </c>
      <c r="V50" s="11">
        <f>IF(AG50="2",G50,0)</f>
        <v>0</v>
      </c>
      <c r="W50" s="11">
        <f>IF(AG50="2",H50,0)</f>
        <v>0</v>
      </c>
      <c r="X50" s="11">
        <f>IF(AG50="0",I50,0)</f>
        <v>0</v>
      </c>
      <c r="Y50" s="6"/>
      <c r="Z50" s="4">
        <f>IF(AD50=0,I50,0)</f>
        <v>0</v>
      </c>
      <c r="AA50" s="4">
        <f>IF(AD50=15,I50,0)</f>
        <v>0</v>
      </c>
      <c r="AB50" s="4">
        <f>IF(AD50=21,I50,0)</f>
        <v>0</v>
      </c>
      <c r="AD50" s="11">
        <v>21</v>
      </c>
      <c r="AE50" s="11">
        <f>F50*0.598233076263925</f>
        <v>0</v>
      </c>
      <c r="AF50" s="11">
        <f>F50*(1-0.598233076263925)</f>
        <v>0</v>
      </c>
      <c r="AG50" s="7" t="s">
        <v>498</v>
      </c>
      <c r="AM50" s="11">
        <f>E50*AE50</f>
        <v>0</v>
      </c>
      <c r="AN50" s="11">
        <f>E50*AF50</f>
        <v>0</v>
      </c>
      <c r="AO50" s="12" t="s">
        <v>183</v>
      </c>
      <c r="AP50" s="12" t="s">
        <v>222</v>
      </c>
      <c r="AQ50" s="6" t="s">
        <v>234</v>
      </c>
      <c r="AS50" s="11">
        <f>AM50+AN50</f>
        <v>0</v>
      </c>
      <c r="AT50" s="11">
        <f>F50/(100-AU50)*100</f>
        <v>0</v>
      </c>
      <c r="AU50" s="11">
        <v>0</v>
      </c>
      <c r="AV50" s="11">
        <f>K50</f>
        <v>0.5890880000000001</v>
      </c>
    </row>
    <row r="51" spans="1:14" ht="12.75">
      <c r="A51" s="39"/>
      <c r="B51" s="39"/>
      <c r="C51" s="63" t="s">
        <v>1298</v>
      </c>
      <c r="D51" s="39"/>
      <c r="E51" s="64">
        <v>0.328</v>
      </c>
      <c r="F51" s="39"/>
      <c r="G51" s="39"/>
      <c r="H51" s="39"/>
      <c r="I51" s="39"/>
      <c r="J51" s="39"/>
      <c r="K51" s="39"/>
      <c r="L51" s="39"/>
      <c r="M51" s="39"/>
      <c r="N51" s="39"/>
    </row>
    <row r="52" spans="1:48" ht="12.75">
      <c r="A52" s="59" t="s">
        <v>514</v>
      </c>
      <c r="B52" s="59" t="s">
        <v>889</v>
      </c>
      <c r="C52" s="59" t="s">
        <v>1299</v>
      </c>
      <c r="D52" s="59" t="s">
        <v>144</v>
      </c>
      <c r="E52" s="60">
        <v>1</v>
      </c>
      <c r="F52" s="61"/>
      <c r="G52" s="61">
        <f>E52*AE52</f>
        <v>0</v>
      </c>
      <c r="H52" s="61">
        <f>I52-G52</f>
        <v>0</v>
      </c>
      <c r="I52" s="61">
        <f>E52*F52</f>
        <v>0</v>
      </c>
      <c r="J52" s="61">
        <v>0.18971</v>
      </c>
      <c r="K52" s="61">
        <f>E52*J52</f>
        <v>0.18971</v>
      </c>
      <c r="L52" s="62" t="s">
        <v>170</v>
      </c>
      <c r="M52" s="39"/>
      <c r="N52" s="39"/>
      <c r="P52" s="11">
        <f>IF(AG52="5",I52,0)</f>
        <v>0</v>
      </c>
      <c r="R52" s="11">
        <f>IF(AG52="1",G52,0)</f>
        <v>0</v>
      </c>
      <c r="S52" s="11">
        <f>IF(AG52="1",H52,0)</f>
        <v>0</v>
      </c>
      <c r="T52" s="11">
        <f>IF(AG52="7",G52,0)</f>
        <v>0</v>
      </c>
      <c r="U52" s="11">
        <f>IF(AG52="7",H52,0)</f>
        <v>0</v>
      </c>
      <c r="V52" s="11">
        <f>IF(AG52="2",G52,0)</f>
        <v>0</v>
      </c>
      <c r="W52" s="11">
        <f>IF(AG52="2",H52,0)</f>
        <v>0</v>
      </c>
      <c r="X52" s="11">
        <f>IF(AG52="0",I52,0)</f>
        <v>0</v>
      </c>
      <c r="Y52" s="6"/>
      <c r="Z52" s="4">
        <f>IF(AD52=0,I52,0)</f>
        <v>0</v>
      </c>
      <c r="AA52" s="4">
        <f>IF(AD52=15,I52,0)</f>
        <v>0</v>
      </c>
      <c r="AB52" s="4">
        <f>IF(AD52=21,I52,0)</f>
        <v>0</v>
      </c>
      <c r="AD52" s="11">
        <v>21</v>
      </c>
      <c r="AE52" s="11">
        <f>F52*0.765259403372244</f>
        <v>0</v>
      </c>
      <c r="AF52" s="11">
        <f>F52*(1-0.765259403372244)</f>
        <v>0</v>
      </c>
      <c r="AG52" s="7" t="s">
        <v>498</v>
      </c>
      <c r="AM52" s="11">
        <f>E52*AE52</f>
        <v>0</v>
      </c>
      <c r="AN52" s="11">
        <f>E52*AF52</f>
        <v>0</v>
      </c>
      <c r="AO52" s="12" t="s">
        <v>183</v>
      </c>
      <c r="AP52" s="12" t="s">
        <v>222</v>
      </c>
      <c r="AQ52" s="6" t="s">
        <v>234</v>
      </c>
      <c r="AS52" s="11">
        <f>AM52+AN52</f>
        <v>0</v>
      </c>
      <c r="AT52" s="11">
        <f>F52/(100-AU52)*100</f>
        <v>0</v>
      </c>
      <c r="AU52" s="11">
        <v>0</v>
      </c>
      <c r="AV52" s="11">
        <f>K52</f>
        <v>0.18971</v>
      </c>
    </row>
    <row r="53" spans="1:14" ht="12.75">
      <c r="A53" s="39"/>
      <c r="B53" s="39"/>
      <c r="C53" s="63" t="s">
        <v>1300</v>
      </c>
      <c r="D53" s="39"/>
      <c r="E53" s="64">
        <v>1</v>
      </c>
      <c r="F53" s="39"/>
      <c r="G53" s="39"/>
      <c r="H53" s="39"/>
      <c r="I53" s="39"/>
      <c r="J53" s="39"/>
      <c r="K53" s="39"/>
      <c r="L53" s="39"/>
      <c r="M53" s="39"/>
      <c r="N53" s="39"/>
    </row>
    <row r="54" spans="1:48" ht="12.75">
      <c r="A54" s="59" t="s">
        <v>515</v>
      </c>
      <c r="B54" s="59" t="s">
        <v>890</v>
      </c>
      <c r="C54" s="59" t="s">
        <v>1301</v>
      </c>
      <c r="D54" s="59" t="s">
        <v>144</v>
      </c>
      <c r="E54" s="60">
        <v>2</v>
      </c>
      <c r="F54" s="61"/>
      <c r="G54" s="61">
        <f>E54*AE54</f>
        <v>0</v>
      </c>
      <c r="H54" s="61">
        <f>I54-G54</f>
        <v>0</v>
      </c>
      <c r="I54" s="61">
        <f>E54*F54</f>
        <v>0</v>
      </c>
      <c r="J54" s="61">
        <v>0.31658</v>
      </c>
      <c r="K54" s="61">
        <f>E54*J54</f>
        <v>0.63316</v>
      </c>
      <c r="L54" s="62" t="s">
        <v>170</v>
      </c>
      <c r="M54" s="39"/>
      <c r="N54" s="39"/>
      <c r="P54" s="11">
        <f>IF(AG54="5",I54,0)</f>
        <v>0</v>
      </c>
      <c r="R54" s="11">
        <f>IF(AG54="1",G54,0)</f>
        <v>0</v>
      </c>
      <c r="S54" s="11">
        <f>IF(AG54="1",H54,0)</f>
        <v>0</v>
      </c>
      <c r="T54" s="11">
        <f>IF(AG54="7",G54,0)</f>
        <v>0</v>
      </c>
      <c r="U54" s="11">
        <f>IF(AG54="7",H54,0)</f>
        <v>0</v>
      </c>
      <c r="V54" s="11">
        <f>IF(AG54="2",G54,0)</f>
        <v>0</v>
      </c>
      <c r="W54" s="11">
        <f>IF(AG54="2",H54,0)</f>
        <v>0</v>
      </c>
      <c r="X54" s="11">
        <f>IF(AG54="0",I54,0)</f>
        <v>0</v>
      </c>
      <c r="Y54" s="6"/>
      <c r="Z54" s="4">
        <f>IF(AD54=0,I54,0)</f>
        <v>0</v>
      </c>
      <c r="AA54" s="4">
        <f>IF(AD54=15,I54,0)</f>
        <v>0</v>
      </c>
      <c r="AB54" s="4">
        <f>IF(AD54=21,I54,0)</f>
        <v>0</v>
      </c>
      <c r="AD54" s="11">
        <v>21</v>
      </c>
      <c r="AE54" s="11">
        <f>F54*0.762062095364836</f>
        <v>0</v>
      </c>
      <c r="AF54" s="11">
        <f>F54*(1-0.762062095364836)</f>
        <v>0</v>
      </c>
      <c r="AG54" s="7" t="s">
        <v>498</v>
      </c>
      <c r="AM54" s="11">
        <f>E54*AE54</f>
        <v>0</v>
      </c>
      <c r="AN54" s="11">
        <f>E54*AF54</f>
        <v>0</v>
      </c>
      <c r="AO54" s="12" t="s">
        <v>183</v>
      </c>
      <c r="AP54" s="12" t="s">
        <v>222</v>
      </c>
      <c r="AQ54" s="6" t="s">
        <v>234</v>
      </c>
      <c r="AS54" s="11">
        <f>AM54+AN54</f>
        <v>0</v>
      </c>
      <c r="AT54" s="11">
        <f>F54/(100-AU54)*100</f>
        <v>0</v>
      </c>
      <c r="AU54" s="11">
        <v>0</v>
      </c>
      <c r="AV54" s="11">
        <f>K54</f>
        <v>0.63316</v>
      </c>
    </row>
    <row r="55" spans="1:14" ht="12.75">
      <c r="A55" s="39"/>
      <c r="B55" s="39"/>
      <c r="C55" s="63" t="s">
        <v>1302</v>
      </c>
      <c r="D55" s="39"/>
      <c r="E55" s="64">
        <v>2</v>
      </c>
      <c r="F55" s="39"/>
      <c r="G55" s="39"/>
      <c r="H55" s="39"/>
      <c r="I55" s="39"/>
      <c r="J55" s="39"/>
      <c r="K55" s="39"/>
      <c r="L55" s="39"/>
      <c r="M55" s="39"/>
      <c r="N55" s="39"/>
    </row>
    <row r="56" spans="1:48" ht="12.75">
      <c r="A56" s="59" t="s">
        <v>516</v>
      </c>
      <c r="B56" s="59" t="s">
        <v>891</v>
      </c>
      <c r="C56" s="59" t="s">
        <v>1303</v>
      </c>
      <c r="D56" s="59" t="s">
        <v>144</v>
      </c>
      <c r="E56" s="60">
        <v>2</v>
      </c>
      <c r="F56" s="61"/>
      <c r="G56" s="61">
        <f>E56*AE56</f>
        <v>0</v>
      </c>
      <c r="H56" s="61">
        <f>I56-G56</f>
        <v>0</v>
      </c>
      <c r="I56" s="61">
        <f>E56*F56</f>
        <v>0</v>
      </c>
      <c r="J56" s="61">
        <v>0.13608</v>
      </c>
      <c r="K56" s="61">
        <f>E56*J56</f>
        <v>0.27216</v>
      </c>
      <c r="L56" s="62" t="s">
        <v>170</v>
      </c>
      <c r="M56" s="39"/>
      <c r="N56" s="39"/>
      <c r="P56" s="11">
        <f>IF(AG56="5",I56,0)</f>
        <v>0</v>
      </c>
      <c r="R56" s="11">
        <f>IF(AG56="1",G56,0)</f>
        <v>0</v>
      </c>
      <c r="S56" s="11">
        <f>IF(AG56="1",H56,0)</f>
        <v>0</v>
      </c>
      <c r="T56" s="11">
        <f>IF(AG56="7",G56,0)</f>
        <v>0</v>
      </c>
      <c r="U56" s="11">
        <f>IF(AG56="7",H56,0)</f>
        <v>0</v>
      </c>
      <c r="V56" s="11">
        <f>IF(AG56="2",G56,0)</f>
        <v>0</v>
      </c>
      <c r="W56" s="11">
        <f>IF(AG56="2",H56,0)</f>
        <v>0</v>
      </c>
      <c r="X56" s="11">
        <f>IF(AG56="0",I56,0)</f>
        <v>0</v>
      </c>
      <c r="Y56" s="6"/>
      <c r="Z56" s="4">
        <f>IF(AD56=0,I56,0)</f>
        <v>0</v>
      </c>
      <c r="AA56" s="4">
        <f>IF(AD56=15,I56,0)</f>
        <v>0</v>
      </c>
      <c r="AB56" s="4">
        <f>IF(AD56=21,I56,0)</f>
        <v>0</v>
      </c>
      <c r="AD56" s="11">
        <v>21</v>
      </c>
      <c r="AE56" s="11">
        <f>F56*0.699566003616637</f>
        <v>0</v>
      </c>
      <c r="AF56" s="11">
        <f>F56*(1-0.699566003616637)</f>
        <v>0</v>
      </c>
      <c r="AG56" s="7" t="s">
        <v>498</v>
      </c>
      <c r="AM56" s="11">
        <f>E56*AE56</f>
        <v>0</v>
      </c>
      <c r="AN56" s="11">
        <f>E56*AF56</f>
        <v>0</v>
      </c>
      <c r="AO56" s="12" t="s">
        <v>183</v>
      </c>
      <c r="AP56" s="12" t="s">
        <v>222</v>
      </c>
      <c r="AQ56" s="6" t="s">
        <v>234</v>
      </c>
      <c r="AS56" s="11">
        <f>AM56+AN56</f>
        <v>0</v>
      </c>
      <c r="AT56" s="11">
        <f>F56/(100-AU56)*100</f>
        <v>0</v>
      </c>
      <c r="AU56" s="11">
        <v>0</v>
      </c>
      <c r="AV56" s="11">
        <f>K56</f>
        <v>0.27216</v>
      </c>
    </row>
    <row r="57" spans="1:14" ht="12.75">
      <c r="A57" s="39"/>
      <c r="B57" s="39"/>
      <c r="C57" s="63" t="s">
        <v>1304</v>
      </c>
      <c r="D57" s="39"/>
      <c r="E57" s="64">
        <v>2</v>
      </c>
      <c r="F57" s="39"/>
      <c r="G57" s="39"/>
      <c r="H57" s="39"/>
      <c r="I57" s="39"/>
      <c r="J57" s="39"/>
      <c r="K57" s="39"/>
      <c r="L57" s="39"/>
      <c r="M57" s="39"/>
      <c r="N57" s="39"/>
    </row>
    <row r="58" spans="1:48" ht="12.75">
      <c r="A58" s="59" t="s">
        <v>517</v>
      </c>
      <c r="B58" s="59" t="s">
        <v>892</v>
      </c>
      <c r="C58" s="59" t="s">
        <v>1305</v>
      </c>
      <c r="D58" s="59" t="s">
        <v>143</v>
      </c>
      <c r="E58" s="60">
        <v>0.012</v>
      </c>
      <c r="F58" s="61"/>
      <c r="G58" s="61">
        <f>E58*AE58</f>
        <v>0</v>
      </c>
      <c r="H58" s="61">
        <f>I58-G58</f>
        <v>0</v>
      </c>
      <c r="I58" s="61">
        <f>E58*F58</f>
        <v>0</v>
      </c>
      <c r="J58" s="61">
        <v>0.01954</v>
      </c>
      <c r="K58" s="61">
        <f>E58*J58</f>
        <v>0.00023448</v>
      </c>
      <c r="L58" s="62" t="s">
        <v>170</v>
      </c>
      <c r="M58" s="39"/>
      <c r="N58" s="39"/>
      <c r="P58" s="11">
        <f>IF(AG58="5",I58,0)</f>
        <v>0</v>
      </c>
      <c r="R58" s="11">
        <f>IF(AG58="1",G58,0)</f>
        <v>0</v>
      </c>
      <c r="S58" s="11">
        <f>IF(AG58="1",H58,0)</f>
        <v>0</v>
      </c>
      <c r="T58" s="11">
        <f>IF(AG58="7",G58,0)</f>
        <v>0</v>
      </c>
      <c r="U58" s="11">
        <f>IF(AG58="7",H58,0)</f>
        <v>0</v>
      </c>
      <c r="V58" s="11">
        <f>IF(AG58="2",G58,0)</f>
        <v>0</v>
      </c>
      <c r="W58" s="11">
        <f>IF(AG58="2",H58,0)</f>
        <v>0</v>
      </c>
      <c r="X58" s="11">
        <f>IF(AG58="0",I58,0)</f>
        <v>0</v>
      </c>
      <c r="Y58" s="6"/>
      <c r="Z58" s="4">
        <f>IF(AD58=0,I58,0)</f>
        <v>0</v>
      </c>
      <c r="AA58" s="4">
        <f>IF(AD58=15,I58,0)</f>
        <v>0</v>
      </c>
      <c r="AB58" s="4">
        <f>IF(AD58=21,I58,0)</f>
        <v>0</v>
      </c>
      <c r="AD58" s="11">
        <v>21</v>
      </c>
      <c r="AE58" s="11">
        <f>F58*0.00261161731207289</f>
        <v>0</v>
      </c>
      <c r="AF58" s="11">
        <f>F58*(1-0.00261161731207289)</f>
        <v>0</v>
      </c>
      <c r="AG58" s="7" t="s">
        <v>498</v>
      </c>
      <c r="AM58" s="11">
        <f>E58*AE58</f>
        <v>0</v>
      </c>
      <c r="AN58" s="11">
        <f>E58*AF58</f>
        <v>0</v>
      </c>
      <c r="AO58" s="12" t="s">
        <v>183</v>
      </c>
      <c r="AP58" s="12" t="s">
        <v>222</v>
      </c>
      <c r="AQ58" s="6" t="s">
        <v>234</v>
      </c>
      <c r="AS58" s="11">
        <f>AM58+AN58</f>
        <v>0</v>
      </c>
      <c r="AT58" s="11">
        <f>F58/(100-AU58)*100</f>
        <v>0</v>
      </c>
      <c r="AU58" s="11">
        <v>0</v>
      </c>
      <c r="AV58" s="11">
        <f>K58</f>
        <v>0.00023448</v>
      </c>
    </row>
    <row r="59" spans="1:14" ht="12.75">
      <c r="A59" s="39"/>
      <c r="B59" s="39"/>
      <c r="C59" s="63" t="s">
        <v>1306</v>
      </c>
      <c r="D59" s="39"/>
      <c r="E59" s="64">
        <v>0.012</v>
      </c>
      <c r="F59" s="39"/>
      <c r="G59" s="39"/>
      <c r="H59" s="39"/>
      <c r="I59" s="39"/>
      <c r="J59" s="39"/>
      <c r="K59" s="39"/>
      <c r="L59" s="39"/>
      <c r="M59" s="39"/>
      <c r="N59" s="39"/>
    </row>
    <row r="60" spans="1:48" ht="12.75">
      <c r="A60" s="70" t="s">
        <v>518</v>
      </c>
      <c r="B60" s="70" t="s">
        <v>893</v>
      </c>
      <c r="C60" s="70" t="s">
        <v>1307</v>
      </c>
      <c r="D60" s="70" t="s">
        <v>145</v>
      </c>
      <c r="E60" s="71">
        <v>12.745</v>
      </c>
      <c r="F60" s="72"/>
      <c r="G60" s="72">
        <f>E60*AE60</f>
        <v>0</v>
      </c>
      <c r="H60" s="72">
        <f>I60-G60</f>
        <v>0</v>
      </c>
      <c r="I60" s="72">
        <f>E60*F60</f>
        <v>0</v>
      </c>
      <c r="J60" s="72">
        <v>0.001</v>
      </c>
      <c r="K60" s="72">
        <f>E60*J60</f>
        <v>0.012745</v>
      </c>
      <c r="L60" s="73" t="s">
        <v>170</v>
      </c>
      <c r="M60" s="39"/>
      <c r="N60" s="39"/>
      <c r="P60" s="11">
        <f>IF(AG60="5",I60,0)</f>
        <v>0</v>
      </c>
      <c r="R60" s="11">
        <f>IF(AG60="1",G60,0)</f>
        <v>0</v>
      </c>
      <c r="S60" s="11">
        <f>IF(AG60="1",H60,0)</f>
        <v>0</v>
      </c>
      <c r="T60" s="11">
        <f>IF(AG60="7",G60,0)</f>
        <v>0</v>
      </c>
      <c r="U60" s="11">
        <f>IF(AG60="7",H60,0)</f>
        <v>0</v>
      </c>
      <c r="V60" s="11">
        <f>IF(AG60="2",G60,0)</f>
        <v>0</v>
      </c>
      <c r="W60" s="11">
        <f>IF(AG60="2",H60,0)</f>
        <v>0</v>
      </c>
      <c r="X60" s="11">
        <f>IF(AG60="0",I60,0)</f>
        <v>0</v>
      </c>
      <c r="Y60" s="6"/>
      <c r="Z60" s="5">
        <f>IF(AD60=0,I60,0)</f>
        <v>0</v>
      </c>
      <c r="AA60" s="5">
        <f>IF(AD60=15,I60,0)</f>
        <v>0</v>
      </c>
      <c r="AB60" s="5">
        <f>IF(AD60=21,I60,0)</f>
        <v>0</v>
      </c>
      <c r="AD60" s="11">
        <v>21</v>
      </c>
      <c r="AE60" s="11">
        <f>F60*1</f>
        <v>0</v>
      </c>
      <c r="AF60" s="11">
        <f>F60*(1-1)</f>
        <v>0</v>
      </c>
      <c r="AG60" s="8" t="s">
        <v>498</v>
      </c>
      <c r="AM60" s="11">
        <f>E60*AE60</f>
        <v>0</v>
      </c>
      <c r="AN60" s="11">
        <f>E60*AF60</f>
        <v>0</v>
      </c>
      <c r="AO60" s="12" t="s">
        <v>183</v>
      </c>
      <c r="AP60" s="12" t="s">
        <v>222</v>
      </c>
      <c r="AQ60" s="6" t="s">
        <v>234</v>
      </c>
      <c r="AS60" s="11">
        <f>AM60+AN60</f>
        <v>0</v>
      </c>
      <c r="AT60" s="11">
        <f>F60/(100-AU60)*100</f>
        <v>0</v>
      </c>
      <c r="AU60" s="11">
        <v>0</v>
      </c>
      <c r="AV60" s="11">
        <f>K60</f>
        <v>0.012745</v>
      </c>
    </row>
    <row r="61" spans="1:14" ht="12.75">
      <c r="A61" s="39"/>
      <c r="B61" s="39"/>
      <c r="C61" s="63" t="s">
        <v>1308</v>
      </c>
      <c r="D61" s="39"/>
      <c r="E61" s="64">
        <v>11.801</v>
      </c>
      <c r="F61" s="39"/>
      <c r="G61" s="39"/>
      <c r="H61" s="39"/>
      <c r="I61" s="39"/>
      <c r="J61" s="39"/>
      <c r="K61" s="39"/>
      <c r="L61" s="39"/>
      <c r="M61" s="39"/>
      <c r="N61" s="39"/>
    </row>
    <row r="62" spans="1:14" ht="12.75">
      <c r="A62" s="39"/>
      <c r="B62" s="39"/>
      <c r="C62" s="63" t="s">
        <v>1309</v>
      </c>
      <c r="D62" s="39"/>
      <c r="E62" s="64">
        <v>0.944</v>
      </c>
      <c r="F62" s="39"/>
      <c r="G62" s="39"/>
      <c r="H62" s="39"/>
      <c r="I62" s="39"/>
      <c r="J62" s="39"/>
      <c r="K62" s="39"/>
      <c r="L62" s="39"/>
      <c r="M62" s="39"/>
      <c r="N62" s="39"/>
    </row>
    <row r="63" spans="1:48" ht="12.75">
      <c r="A63" s="59" t="s">
        <v>519</v>
      </c>
      <c r="B63" s="59" t="s">
        <v>894</v>
      </c>
      <c r="C63" s="59" t="s">
        <v>1310</v>
      </c>
      <c r="D63" s="59" t="s">
        <v>144</v>
      </c>
      <c r="E63" s="60">
        <v>8</v>
      </c>
      <c r="F63" s="61"/>
      <c r="G63" s="61">
        <f>E63*AE63</f>
        <v>0</v>
      </c>
      <c r="H63" s="61">
        <f>I63-G63</f>
        <v>0</v>
      </c>
      <c r="I63" s="61">
        <f>E63*F63</f>
        <v>0</v>
      </c>
      <c r="J63" s="61">
        <v>0.02541</v>
      </c>
      <c r="K63" s="61">
        <f>E63*J63</f>
        <v>0.20328</v>
      </c>
      <c r="L63" s="62" t="s">
        <v>170</v>
      </c>
      <c r="M63" s="39"/>
      <c r="N63" s="39"/>
      <c r="P63" s="11">
        <f>IF(AG63="5",I63,0)</f>
        <v>0</v>
      </c>
      <c r="R63" s="11">
        <f>IF(AG63="1",G63,0)</f>
        <v>0</v>
      </c>
      <c r="S63" s="11">
        <f>IF(AG63="1",H63,0)</f>
        <v>0</v>
      </c>
      <c r="T63" s="11">
        <f>IF(AG63="7",G63,0)</f>
        <v>0</v>
      </c>
      <c r="U63" s="11">
        <f>IF(AG63="7",H63,0)</f>
        <v>0</v>
      </c>
      <c r="V63" s="11">
        <f>IF(AG63="2",G63,0)</f>
        <v>0</v>
      </c>
      <c r="W63" s="11">
        <f>IF(AG63="2",H63,0)</f>
        <v>0</v>
      </c>
      <c r="X63" s="11">
        <f>IF(AG63="0",I63,0)</f>
        <v>0</v>
      </c>
      <c r="Y63" s="6"/>
      <c r="Z63" s="4">
        <f>IF(AD63=0,I63,0)</f>
        <v>0</v>
      </c>
      <c r="AA63" s="4">
        <f>IF(AD63=15,I63,0)</f>
        <v>0</v>
      </c>
      <c r="AB63" s="4">
        <f>IF(AD63=21,I63,0)</f>
        <v>0</v>
      </c>
      <c r="AD63" s="11">
        <v>21</v>
      </c>
      <c r="AE63" s="11">
        <f>F63*0.630278153792411</f>
        <v>0</v>
      </c>
      <c r="AF63" s="11">
        <f>F63*(1-0.630278153792411)</f>
        <v>0</v>
      </c>
      <c r="AG63" s="7" t="s">
        <v>498</v>
      </c>
      <c r="AM63" s="11">
        <f>E63*AE63</f>
        <v>0</v>
      </c>
      <c r="AN63" s="11">
        <f>E63*AF63</f>
        <v>0</v>
      </c>
      <c r="AO63" s="12" t="s">
        <v>183</v>
      </c>
      <c r="AP63" s="12" t="s">
        <v>222</v>
      </c>
      <c r="AQ63" s="6" t="s">
        <v>234</v>
      </c>
      <c r="AS63" s="11">
        <f>AM63+AN63</f>
        <v>0</v>
      </c>
      <c r="AT63" s="11">
        <f>F63/(100-AU63)*100</f>
        <v>0</v>
      </c>
      <c r="AU63" s="11">
        <v>0</v>
      </c>
      <c r="AV63" s="11">
        <f>K63</f>
        <v>0.20328</v>
      </c>
    </row>
    <row r="64" spans="1:14" ht="12.75">
      <c r="A64" s="39"/>
      <c r="B64" s="39"/>
      <c r="C64" s="63" t="s">
        <v>1311</v>
      </c>
      <c r="D64" s="39"/>
      <c r="E64" s="64">
        <v>8</v>
      </c>
      <c r="F64" s="39"/>
      <c r="G64" s="39"/>
      <c r="H64" s="39"/>
      <c r="I64" s="39"/>
      <c r="J64" s="39"/>
      <c r="K64" s="39"/>
      <c r="L64" s="39"/>
      <c r="M64" s="39"/>
      <c r="N64" s="39"/>
    </row>
    <row r="65" spans="1:48" ht="12.75">
      <c r="A65" s="59" t="s">
        <v>520</v>
      </c>
      <c r="B65" s="59" t="s">
        <v>895</v>
      </c>
      <c r="C65" s="59" t="s">
        <v>1312</v>
      </c>
      <c r="D65" s="59" t="s">
        <v>144</v>
      </c>
      <c r="E65" s="60">
        <v>2</v>
      </c>
      <c r="F65" s="61"/>
      <c r="G65" s="61">
        <f>E65*AE65</f>
        <v>0</v>
      </c>
      <c r="H65" s="61">
        <f>I65-G65</f>
        <v>0</v>
      </c>
      <c r="I65" s="61">
        <f>E65*F65</f>
        <v>0</v>
      </c>
      <c r="J65" s="61">
        <v>0.22708</v>
      </c>
      <c r="K65" s="61">
        <f>E65*J65</f>
        <v>0.45416</v>
      </c>
      <c r="L65" s="62" t="s">
        <v>170</v>
      </c>
      <c r="M65" s="39"/>
      <c r="N65" s="39"/>
      <c r="P65" s="11">
        <f>IF(AG65="5",I65,0)</f>
        <v>0</v>
      </c>
      <c r="R65" s="11">
        <f>IF(AG65="1",G65,0)</f>
        <v>0</v>
      </c>
      <c r="S65" s="11">
        <f>IF(AG65="1",H65,0)</f>
        <v>0</v>
      </c>
      <c r="T65" s="11">
        <f>IF(AG65="7",G65,0)</f>
        <v>0</v>
      </c>
      <c r="U65" s="11">
        <f>IF(AG65="7",H65,0)</f>
        <v>0</v>
      </c>
      <c r="V65" s="11">
        <f>IF(AG65="2",G65,0)</f>
        <v>0</v>
      </c>
      <c r="W65" s="11">
        <f>IF(AG65="2",H65,0)</f>
        <v>0</v>
      </c>
      <c r="X65" s="11">
        <f>IF(AG65="0",I65,0)</f>
        <v>0</v>
      </c>
      <c r="Y65" s="6"/>
      <c r="Z65" s="4">
        <f>IF(AD65=0,I65,0)</f>
        <v>0</v>
      </c>
      <c r="AA65" s="4">
        <f>IF(AD65=15,I65,0)</f>
        <v>0</v>
      </c>
      <c r="AB65" s="4">
        <f>IF(AD65=21,I65,0)</f>
        <v>0</v>
      </c>
      <c r="AD65" s="11">
        <v>21</v>
      </c>
      <c r="AE65" s="11">
        <f>F65*0.704464766003228</f>
        <v>0</v>
      </c>
      <c r="AF65" s="11">
        <f>F65*(1-0.704464766003228)</f>
        <v>0</v>
      </c>
      <c r="AG65" s="7" t="s">
        <v>498</v>
      </c>
      <c r="AM65" s="11">
        <f>E65*AE65</f>
        <v>0</v>
      </c>
      <c r="AN65" s="11">
        <f>E65*AF65</f>
        <v>0</v>
      </c>
      <c r="AO65" s="12" t="s">
        <v>183</v>
      </c>
      <c r="AP65" s="12" t="s">
        <v>222</v>
      </c>
      <c r="AQ65" s="6" t="s">
        <v>234</v>
      </c>
      <c r="AS65" s="11">
        <f>AM65+AN65</f>
        <v>0</v>
      </c>
      <c r="AT65" s="11">
        <f>F65/(100-AU65)*100</f>
        <v>0</v>
      </c>
      <c r="AU65" s="11">
        <v>0</v>
      </c>
      <c r="AV65" s="11">
        <f>K65</f>
        <v>0.45416</v>
      </c>
    </row>
    <row r="66" spans="1:14" ht="12.75">
      <c r="A66" s="39"/>
      <c r="B66" s="39"/>
      <c r="C66" s="63" t="s">
        <v>1313</v>
      </c>
      <c r="D66" s="39"/>
      <c r="E66" s="64">
        <v>2</v>
      </c>
      <c r="F66" s="39"/>
      <c r="G66" s="39"/>
      <c r="H66" s="39"/>
      <c r="I66" s="39"/>
      <c r="J66" s="39"/>
      <c r="K66" s="39"/>
      <c r="L66" s="39"/>
      <c r="M66" s="39"/>
      <c r="N66" s="39"/>
    </row>
    <row r="67" spans="1:48" ht="12.75">
      <c r="A67" s="59" t="s">
        <v>521</v>
      </c>
      <c r="B67" s="59" t="s">
        <v>896</v>
      </c>
      <c r="C67" s="59" t="s">
        <v>1314</v>
      </c>
      <c r="D67" s="59" t="s">
        <v>144</v>
      </c>
      <c r="E67" s="60">
        <v>1</v>
      </c>
      <c r="F67" s="61"/>
      <c r="G67" s="61">
        <f>E67*AE67</f>
        <v>0</v>
      </c>
      <c r="H67" s="61">
        <f>I67-G67</f>
        <v>0</v>
      </c>
      <c r="I67" s="61">
        <f>E67*F67</f>
        <v>0</v>
      </c>
      <c r="J67" s="61">
        <v>0.5407</v>
      </c>
      <c r="K67" s="61">
        <f>E67*J67</f>
        <v>0.5407</v>
      </c>
      <c r="L67" s="62" t="s">
        <v>170</v>
      </c>
      <c r="M67" s="39"/>
      <c r="N67" s="39"/>
      <c r="P67" s="11">
        <f>IF(AG67="5",I67,0)</f>
        <v>0</v>
      </c>
      <c r="R67" s="11">
        <f>IF(AG67="1",G67,0)</f>
        <v>0</v>
      </c>
      <c r="S67" s="11">
        <f>IF(AG67="1",H67,0)</f>
        <v>0</v>
      </c>
      <c r="T67" s="11">
        <f>IF(AG67="7",G67,0)</f>
        <v>0</v>
      </c>
      <c r="U67" s="11">
        <f>IF(AG67="7",H67,0)</f>
        <v>0</v>
      </c>
      <c r="V67" s="11">
        <f>IF(AG67="2",G67,0)</f>
        <v>0</v>
      </c>
      <c r="W67" s="11">
        <f>IF(AG67="2",H67,0)</f>
        <v>0</v>
      </c>
      <c r="X67" s="11">
        <f>IF(AG67="0",I67,0)</f>
        <v>0</v>
      </c>
      <c r="Y67" s="6"/>
      <c r="Z67" s="4">
        <f>IF(AD67=0,I67,0)</f>
        <v>0</v>
      </c>
      <c r="AA67" s="4">
        <f>IF(AD67=15,I67,0)</f>
        <v>0</v>
      </c>
      <c r="AB67" s="4">
        <f>IF(AD67=21,I67,0)</f>
        <v>0</v>
      </c>
      <c r="AD67" s="11">
        <v>21</v>
      </c>
      <c r="AE67" s="11">
        <f>F67*0.800438423749426</f>
        <v>0</v>
      </c>
      <c r="AF67" s="11">
        <f>F67*(1-0.800438423749426)</f>
        <v>0</v>
      </c>
      <c r="AG67" s="7" t="s">
        <v>498</v>
      </c>
      <c r="AM67" s="11">
        <f>E67*AE67</f>
        <v>0</v>
      </c>
      <c r="AN67" s="11">
        <f>E67*AF67</f>
        <v>0</v>
      </c>
      <c r="AO67" s="12" t="s">
        <v>183</v>
      </c>
      <c r="AP67" s="12" t="s">
        <v>222</v>
      </c>
      <c r="AQ67" s="6" t="s">
        <v>234</v>
      </c>
      <c r="AS67" s="11">
        <f>AM67+AN67</f>
        <v>0</v>
      </c>
      <c r="AT67" s="11">
        <f>F67/(100-AU67)*100</f>
        <v>0</v>
      </c>
      <c r="AU67" s="11">
        <v>0</v>
      </c>
      <c r="AV67" s="11">
        <f>K67</f>
        <v>0.5407</v>
      </c>
    </row>
    <row r="68" spans="1:14" ht="12.75">
      <c r="A68" s="39"/>
      <c r="B68" s="39"/>
      <c r="C68" s="63" t="s">
        <v>1315</v>
      </c>
      <c r="D68" s="39"/>
      <c r="E68" s="64">
        <v>1</v>
      </c>
      <c r="F68" s="39"/>
      <c r="G68" s="39"/>
      <c r="H68" s="39"/>
      <c r="I68" s="39"/>
      <c r="J68" s="39"/>
      <c r="K68" s="39"/>
      <c r="L68" s="39"/>
      <c r="M68" s="39"/>
      <c r="N68" s="39"/>
    </row>
    <row r="69" spans="1:48" ht="12.75">
      <c r="A69" s="59" t="s">
        <v>522</v>
      </c>
      <c r="B69" s="59" t="s">
        <v>897</v>
      </c>
      <c r="C69" s="59" t="s">
        <v>1316</v>
      </c>
      <c r="D69" s="59" t="s">
        <v>144</v>
      </c>
      <c r="E69" s="60">
        <v>1</v>
      </c>
      <c r="F69" s="61"/>
      <c r="G69" s="61">
        <f>E69*AE69</f>
        <v>0</v>
      </c>
      <c r="H69" s="61">
        <f>I69-G69</f>
        <v>0</v>
      </c>
      <c r="I69" s="61">
        <f>E69*F69</f>
        <v>0</v>
      </c>
      <c r="J69" s="61">
        <v>0.58543</v>
      </c>
      <c r="K69" s="61">
        <f>E69*J69</f>
        <v>0.58543</v>
      </c>
      <c r="L69" s="62" t="s">
        <v>170</v>
      </c>
      <c r="M69" s="39"/>
      <c r="N69" s="39"/>
      <c r="P69" s="11">
        <f>IF(AG69="5",I69,0)</f>
        <v>0</v>
      </c>
      <c r="R69" s="11">
        <f>IF(AG69="1",G69,0)</f>
        <v>0</v>
      </c>
      <c r="S69" s="11">
        <f>IF(AG69="1",H69,0)</f>
        <v>0</v>
      </c>
      <c r="T69" s="11">
        <f>IF(AG69="7",G69,0)</f>
        <v>0</v>
      </c>
      <c r="U69" s="11">
        <f>IF(AG69="7",H69,0)</f>
        <v>0</v>
      </c>
      <c r="V69" s="11">
        <f>IF(AG69="2",G69,0)</f>
        <v>0</v>
      </c>
      <c r="W69" s="11">
        <f>IF(AG69="2",H69,0)</f>
        <v>0</v>
      </c>
      <c r="X69" s="11">
        <f>IF(AG69="0",I69,0)</f>
        <v>0</v>
      </c>
      <c r="Y69" s="6"/>
      <c r="Z69" s="4">
        <f>IF(AD69=0,I69,0)</f>
        <v>0</v>
      </c>
      <c r="AA69" s="4">
        <f>IF(AD69=15,I69,0)</f>
        <v>0</v>
      </c>
      <c r="AB69" s="4">
        <f>IF(AD69=21,I69,0)</f>
        <v>0</v>
      </c>
      <c r="AD69" s="11">
        <v>21</v>
      </c>
      <c r="AE69" s="11">
        <f>F69*0.801210783846871</f>
        <v>0</v>
      </c>
      <c r="AF69" s="11">
        <f>F69*(1-0.801210783846871)</f>
        <v>0</v>
      </c>
      <c r="AG69" s="7" t="s">
        <v>498</v>
      </c>
      <c r="AM69" s="11">
        <f>E69*AE69</f>
        <v>0</v>
      </c>
      <c r="AN69" s="11">
        <f>E69*AF69</f>
        <v>0</v>
      </c>
      <c r="AO69" s="12" t="s">
        <v>183</v>
      </c>
      <c r="AP69" s="12" t="s">
        <v>222</v>
      </c>
      <c r="AQ69" s="6" t="s">
        <v>234</v>
      </c>
      <c r="AS69" s="11">
        <f>AM69+AN69</f>
        <v>0</v>
      </c>
      <c r="AT69" s="11">
        <f>F69/(100-AU69)*100</f>
        <v>0</v>
      </c>
      <c r="AU69" s="11">
        <v>0</v>
      </c>
      <c r="AV69" s="11">
        <f>K69</f>
        <v>0.58543</v>
      </c>
    </row>
    <row r="70" spans="1:14" ht="12.75">
      <c r="A70" s="39"/>
      <c r="B70" s="39"/>
      <c r="C70" s="63" t="s">
        <v>1317</v>
      </c>
      <c r="D70" s="39"/>
      <c r="E70" s="64">
        <v>1</v>
      </c>
      <c r="F70" s="39"/>
      <c r="G70" s="39"/>
      <c r="H70" s="39"/>
      <c r="I70" s="39"/>
      <c r="J70" s="39"/>
      <c r="K70" s="39"/>
      <c r="L70" s="39"/>
      <c r="M70" s="39"/>
      <c r="N70" s="39"/>
    </row>
    <row r="71" spans="1:37" ht="12.75">
      <c r="A71" s="66"/>
      <c r="B71" s="67" t="s">
        <v>531</v>
      </c>
      <c r="C71" s="305" t="s">
        <v>1318</v>
      </c>
      <c r="D71" s="306"/>
      <c r="E71" s="306"/>
      <c r="F71" s="306"/>
      <c r="G71" s="68">
        <f>SUM(G72:G87)</f>
        <v>0</v>
      </c>
      <c r="H71" s="68">
        <f>SUM(H72:H87)</f>
        <v>0</v>
      </c>
      <c r="I71" s="68">
        <f>G71+H71</f>
        <v>0</v>
      </c>
      <c r="J71" s="69"/>
      <c r="K71" s="68">
        <f>SUM(K72:K87)</f>
        <v>15.607254300000003</v>
      </c>
      <c r="L71" s="69"/>
      <c r="M71" s="39"/>
      <c r="N71" s="39"/>
      <c r="Y71" s="6"/>
      <c r="AI71" s="13">
        <f>SUM(Z72:Z87)</f>
        <v>0</v>
      </c>
      <c r="AJ71" s="13">
        <f>SUM(AA72:AA87)</f>
        <v>0</v>
      </c>
      <c r="AK71" s="13">
        <f>SUM(AB72:AB87)</f>
        <v>0</v>
      </c>
    </row>
    <row r="72" spans="1:48" ht="12.75">
      <c r="A72" s="59" t="s">
        <v>523</v>
      </c>
      <c r="B72" s="59" t="s">
        <v>898</v>
      </c>
      <c r="C72" s="59" t="s">
        <v>1319</v>
      </c>
      <c r="D72" s="59" t="s">
        <v>142</v>
      </c>
      <c r="E72" s="60">
        <v>136.074</v>
      </c>
      <c r="F72" s="61"/>
      <c r="G72" s="61">
        <f>E72*AE72</f>
        <v>0</v>
      </c>
      <c r="H72" s="61">
        <f>I72-G72</f>
        <v>0</v>
      </c>
      <c r="I72" s="61">
        <f>E72*F72</f>
        <v>0</v>
      </c>
      <c r="J72" s="61">
        <v>0.09985</v>
      </c>
      <c r="K72" s="61">
        <f>E72*J72</f>
        <v>13.5869889</v>
      </c>
      <c r="L72" s="62" t="s">
        <v>170</v>
      </c>
      <c r="M72" s="39"/>
      <c r="N72" s="39"/>
      <c r="P72" s="11">
        <f>IF(AG72="5",I72,0)</f>
        <v>0</v>
      </c>
      <c r="R72" s="11">
        <f>IF(AG72="1",G72,0)</f>
        <v>0</v>
      </c>
      <c r="S72" s="11">
        <f>IF(AG72="1",H72,0)</f>
        <v>0</v>
      </c>
      <c r="T72" s="11">
        <f>IF(AG72="7",G72,0)</f>
        <v>0</v>
      </c>
      <c r="U72" s="11">
        <f>IF(AG72="7",H72,0)</f>
        <v>0</v>
      </c>
      <c r="V72" s="11">
        <f>IF(AG72="2",G72,0)</f>
        <v>0</v>
      </c>
      <c r="W72" s="11">
        <f>IF(AG72="2",H72,0)</f>
        <v>0</v>
      </c>
      <c r="X72" s="11">
        <f>IF(AG72="0",I72,0)</f>
        <v>0</v>
      </c>
      <c r="Y72" s="6"/>
      <c r="Z72" s="4">
        <f>IF(AD72=0,I72,0)</f>
        <v>0</v>
      </c>
      <c r="AA72" s="4">
        <f>IF(AD72=15,I72,0)</f>
        <v>0</v>
      </c>
      <c r="AB72" s="4">
        <f>IF(AD72=21,I72,0)</f>
        <v>0</v>
      </c>
      <c r="AD72" s="11">
        <v>21</v>
      </c>
      <c r="AE72" s="11">
        <f>F72*0.647647058823529</f>
        <v>0</v>
      </c>
      <c r="AF72" s="11">
        <f>F72*(1-0.647647058823529)</f>
        <v>0</v>
      </c>
      <c r="AG72" s="7" t="s">
        <v>498</v>
      </c>
      <c r="AM72" s="11">
        <f>E72*AE72</f>
        <v>0</v>
      </c>
      <c r="AN72" s="11">
        <f>E72*AF72</f>
        <v>0</v>
      </c>
      <c r="AO72" s="12" t="s">
        <v>184</v>
      </c>
      <c r="AP72" s="12" t="s">
        <v>222</v>
      </c>
      <c r="AQ72" s="6" t="s">
        <v>234</v>
      </c>
      <c r="AS72" s="11">
        <f>AM72+AN72</f>
        <v>0</v>
      </c>
      <c r="AT72" s="11">
        <f>F72/(100-AU72)*100</f>
        <v>0</v>
      </c>
      <c r="AU72" s="11">
        <v>0</v>
      </c>
      <c r="AV72" s="11">
        <f>K72</f>
        <v>13.5869889</v>
      </c>
    </row>
    <row r="73" spans="1:14" ht="12.75">
      <c r="A73" s="39"/>
      <c r="B73" s="39"/>
      <c r="C73" s="63" t="s">
        <v>1320</v>
      </c>
      <c r="D73" s="39"/>
      <c r="E73" s="64">
        <v>55.125</v>
      </c>
      <c r="F73" s="39"/>
      <c r="G73" s="39"/>
      <c r="H73" s="39"/>
      <c r="I73" s="39"/>
      <c r="J73" s="39"/>
      <c r="K73" s="39"/>
      <c r="L73" s="39"/>
      <c r="M73" s="39"/>
      <c r="N73" s="39"/>
    </row>
    <row r="74" spans="1:14" ht="12.75">
      <c r="A74" s="39"/>
      <c r="B74" s="39"/>
      <c r="C74" s="63" t="s">
        <v>1321</v>
      </c>
      <c r="D74" s="39"/>
      <c r="E74" s="64">
        <v>80.949</v>
      </c>
      <c r="F74" s="39"/>
      <c r="G74" s="39"/>
      <c r="H74" s="39"/>
      <c r="I74" s="39"/>
      <c r="J74" s="39"/>
      <c r="K74" s="39"/>
      <c r="L74" s="39"/>
      <c r="M74" s="39"/>
      <c r="N74" s="39"/>
    </row>
    <row r="75" spans="1:48" ht="12.75">
      <c r="A75" s="59" t="s">
        <v>524</v>
      </c>
      <c r="B75" s="59" t="s">
        <v>899</v>
      </c>
      <c r="C75" s="59" t="s">
        <v>1322</v>
      </c>
      <c r="D75" s="59" t="s">
        <v>146</v>
      </c>
      <c r="E75" s="60">
        <v>26.41</v>
      </c>
      <c r="F75" s="61"/>
      <c r="G75" s="61">
        <f>E75*AE75</f>
        <v>0</v>
      </c>
      <c r="H75" s="61">
        <f>I75-G75</f>
        <v>0</v>
      </c>
      <c r="I75" s="61">
        <f>E75*F75</f>
        <v>0</v>
      </c>
      <c r="J75" s="61">
        <v>8E-05</v>
      </c>
      <c r="K75" s="61">
        <f>E75*J75</f>
        <v>0.0021128</v>
      </c>
      <c r="L75" s="62" t="s">
        <v>170</v>
      </c>
      <c r="M75" s="39"/>
      <c r="N75" s="39"/>
      <c r="P75" s="11">
        <f>IF(AG75="5",I75,0)</f>
        <v>0</v>
      </c>
      <c r="R75" s="11">
        <f>IF(AG75="1",G75,0)</f>
        <v>0</v>
      </c>
      <c r="S75" s="11">
        <f>IF(AG75="1",H75,0)</f>
        <v>0</v>
      </c>
      <c r="T75" s="11">
        <f>IF(AG75="7",G75,0)</f>
        <v>0</v>
      </c>
      <c r="U75" s="11">
        <f>IF(AG75="7",H75,0)</f>
        <v>0</v>
      </c>
      <c r="V75" s="11">
        <f>IF(AG75="2",G75,0)</f>
        <v>0</v>
      </c>
      <c r="W75" s="11">
        <f>IF(AG75="2",H75,0)</f>
        <v>0</v>
      </c>
      <c r="X75" s="11">
        <f>IF(AG75="0",I75,0)</f>
        <v>0</v>
      </c>
      <c r="Y75" s="6"/>
      <c r="Z75" s="4">
        <f>IF(AD75=0,I75,0)</f>
        <v>0</v>
      </c>
      <c r="AA75" s="4">
        <f>IF(AD75=15,I75,0)</f>
        <v>0</v>
      </c>
      <c r="AB75" s="4">
        <f>IF(AD75=21,I75,0)</f>
        <v>0</v>
      </c>
      <c r="AD75" s="11">
        <v>21</v>
      </c>
      <c r="AE75" s="11">
        <f>F75*0.197066326530612</f>
        <v>0</v>
      </c>
      <c r="AF75" s="11">
        <f>F75*(1-0.197066326530612)</f>
        <v>0</v>
      </c>
      <c r="AG75" s="7" t="s">
        <v>498</v>
      </c>
      <c r="AM75" s="11">
        <f>E75*AE75</f>
        <v>0</v>
      </c>
      <c r="AN75" s="11">
        <f>E75*AF75</f>
        <v>0</v>
      </c>
      <c r="AO75" s="12" t="s">
        <v>184</v>
      </c>
      <c r="AP75" s="12" t="s">
        <v>222</v>
      </c>
      <c r="AQ75" s="6" t="s">
        <v>234</v>
      </c>
      <c r="AS75" s="11">
        <f>AM75+AN75</f>
        <v>0</v>
      </c>
      <c r="AT75" s="11">
        <f>F75/(100-AU75)*100</f>
        <v>0</v>
      </c>
      <c r="AU75" s="11">
        <v>0</v>
      </c>
      <c r="AV75" s="11">
        <f>K75</f>
        <v>0.0021128</v>
      </c>
    </row>
    <row r="76" spans="1:14" ht="12.75">
      <c r="A76" s="39"/>
      <c r="B76" s="39"/>
      <c r="C76" s="63" t="s">
        <v>1323</v>
      </c>
      <c r="D76" s="39"/>
      <c r="E76" s="64">
        <v>26.41</v>
      </c>
      <c r="F76" s="39"/>
      <c r="G76" s="39"/>
      <c r="H76" s="39"/>
      <c r="I76" s="39"/>
      <c r="J76" s="39"/>
      <c r="K76" s="39"/>
      <c r="L76" s="39"/>
      <c r="M76" s="39"/>
      <c r="N76" s="39"/>
    </row>
    <row r="77" spans="1:48" ht="12.75">
      <c r="A77" s="59" t="s">
        <v>525</v>
      </c>
      <c r="B77" s="59" t="s">
        <v>900</v>
      </c>
      <c r="C77" s="59" t="s">
        <v>1324</v>
      </c>
      <c r="D77" s="59" t="s">
        <v>142</v>
      </c>
      <c r="E77" s="60">
        <v>1.456</v>
      </c>
      <c r="F77" s="61"/>
      <c r="G77" s="61">
        <f>E77*AE77</f>
        <v>0</v>
      </c>
      <c r="H77" s="61">
        <f>I77-G77</f>
        <v>0</v>
      </c>
      <c r="I77" s="61">
        <f>E77*F77</f>
        <v>0</v>
      </c>
      <c r="J77" s="61">
        <v>0.1656</v>
      </c>
      <c r="K77" s="61">
        <f>E77*J77</f>
        <v>0.24111359999999998</v>
      </c>
      <c r="L77" s="62" t="s">
        <v>170</v>
      </c>
      <c r="M77" s="39"/>
      <c r="N77" s="39"/>
      <c r="P77" s="11">
        <f>IF(AG77="5",I77,0)</f>
        <v>0</v>
      </c>
      <c r="R77" s="11">
        <f>IF(AG77="1",G77,0)</f>
        <v>0</v>
      </c>
      <c r="S77" s="11">
        <f>IF(AG77="1",H77,0)</f>
        <v>0</v>
      </c>
      <c r="T77" s="11">
        <f>IF(AG77="7",G77,0)</f>
        <v>0</v>
      </c>
      <c r="U77" s="11">
        <f>IF(AG77="7",H77,0)</f>
        <v>0</v>
      </c>
      <c r="V77" s="11">
        <f>IF(AG77="2",G77,0)</f>
        <v>0</v>
      </c>
      <c r="W77" s="11">
        <f>IF(AG77="2",H77,0)</f>
        <v>0</v>
      </c>
      <c r="X77" s="11">
        <f>IF(AG77="0",I77,0)</f>
        <v>0</v>
      </c>
      <c r="Y77" s="6"/>
      <c r="Z77" s="4">
        <f>IF(AD77=0,I77,0)</f>
        <v>0</v>
      </c>
      <c r="AA77" s="4">
        <f>IF(AD77=15,I77,0)</f>
        <v>0</v>
      </c>
      <c r="AB77" s="4">
        <f>IF(AD77=21,I77,0)</f>
        <v>0</v>
      </c>
      <c r="AD77" s="11">
        <v>21</v>
      </c>
      <c r="AE77" s="11">
        <f>F77*0.448442408376963</f>
        <v>0</v>
      </c>
      <c r="AF77" s="11">
        <f>F77*(1-0.448442408376963)</f>
        <v>0</v>
      </c>
      <c r="AG77" s="7" t="s">
        <v>498</v>
      </c>
      <c r="AM77" s="11">
        <f>E77*AE77</f>
        <v>0</v>
      </c>
      <c r="AN77" s="11">
        <f>E77*AF77</f>
        <v>0</v>
      </c>
      <c r="AO77" s="12" t="s">
        <v>184</v>
      </c>
      <c r="AP77" s="12" t="s">
        <v>222</v>
      </c>
      <c r="AQ77" s="6" t="s">
        <v>234</v>
      </c>
      <c r="AS77" s="11">
        <f>AM77+AN77</f>
        <v>0</v>
      </c>
      <c r="AT77" s="11">
        <f>F77/(100-AU77)*100</f>
        <v>0</v>
      </c>
      <c r="AU77" s="11">
        <v>0</v>
      </c>
      <c r="AV77" s="11">
        <f>K77</f>
        <v>0.24111359999999998</v>
      </c>
    </row>
    <row r="78" spans="1:14" ht="12.75">
      <c r="A78" s="39"/>
      <c r="B78" s="39"/>
      <c r="C78" s="63" t="s">
        <v>1325</v>
      </c>
      <c r="D78" s="39"/>
      <c r="E78" s="64">
        <v>1.456</v>
      </c>
      <c r="F78" s="39"/>
      <c r="G78" s="39"/>
      <c r="H78" s="39"/>
      <c r="I78" s="39"/>
      <c r="J78" s="39"/>
      <c r="K78" s="39"/>
      <c r="L78" s="39"/>
      <c r="M78" s="39"/>
      <c r="N78" s="39"/>
    </row>
    <row r="79" spans="1:48" ht="12.75">
      <c r="A79" s="59" t="s">
        <v>526</v>
      </c>
      <c r="B79" s="59" t="s">
        <v>901</v>
      </c>
      <c r="C79" s="59" t="s">
        <v>1326</v>
      </c>
      <c r="D79" s="59" t="s">
        <v>142</v>
      </c>
      <c r="E79" s="60">
        <v>51.15</v>
      </c>
      <c r="F79" s="61"/>
      <c r="G79" s="61">
        <f>E79*AE79</f>
        <v>0</v>
      </c>
      <c r="H79" s="61">
        <f>I79-G79</f>
        <v>0</v>
      </c>
      <c r="I79" s="61">
        <f>E79*F79</f>
        <v>0</v>
      </c>
      <c r="J79" s="61">
        <v>0.01762</v>
      </c>
      <c r="K79" s="61">
        <f>E79*J79</f>
        <v>0.901263</v>
      </c>
      <c r="L79" s="62" t="s">
        <v>170</v>
      </c>
      <c r="M79" s="39"/>
      <c r="N79" s="39"/>
      <c r="P79" s="11">
        <f>IF(AG79="5",I79,0)</f>
        <v>0</v>
      </c>
      <c r="R79" s="11">
        <f>IF(AG79="1",G79,0)</f>
        <v>0</v>
      </c>
      <c r="S79" s="11">
        <f>IF(AG79="1",H79,0)</f>
        <v>0</v>
      </c>
      <c r="T79" s="11">
        <f>IF(AG79="7",G79,0)</f>
        <v>0</v>
      </c>
      <c r="U79" s="11">
        <f>IF(AG79="7",H79,0)</f>
        <v>0</v>
      </c>
      <c r="V79" s="11">
        <f>IF(AG79="2",G79,0)</f>
        <v>0</v>
      </c>
      <c r="W79" s="11">
        <f>IF(AG79="2",H79,0)</f>
        <v>0</v>
      </c>
      <c r="X79" s="11">
        <f>IF(AG79="0",I79,0)</f>
        <v>0</v>
      </c>
      <c r="Y79" s="6"/>
      <c r="Z79" s="4">
        <f>IF(AD79=0,I79,0)</f>
        <v>0</v>
      </c>
      <c r="AA79" s="4">
        <f>IF(AD79=15,I79,0)</f>
        <v>0</v>
      </c>
      <c r="AB79" s="4">
        <f>IF(AD79=21,I79,0)</f>
        <v>0</v>
      </c>
      <c r="AD79" s="11">
        <v>21</v>
      </c>
      <c r="AE79" s="11">
        <f>F79*0.402434782608696</f>
        <v>0</v>
      </c>
      <c r="AF79" s="11">
        <f>F79*(1-0.402434782608696)</f>
        <v>0</v>
      </c>
      <c r="AG79" s="7" t="s">
        <v>498</v>
      </c>
      <c r="AM79" s="11">
        <f>E79*AE79</f>
        <v>0</v>
      </c>
      <c r="AN79" s="11">
        <f>E79*AF79</f>
        <v>0</v>
      </c>
      <c r="AO79" s="12" t="s">
        <v>184</v>
      </c>
      <c r="AP79" s="12" t="s">
        <v>222</v>
      </c>
      <c r="AQ79" s="6" t="s">
        <v>234</v>
      </c>
      <c r="AS79" s="11">
        <f>AM79+AN79</f>
        <v>0</v>
      </c>
      <c r="AT79" s="11">
        <f>F79/(100-AU79)*100</f>
        <v>0</v>
      </c>
      <c r="AU79" s="11">
        <v>0</v>
      </c>
      <c r="AV79" s="11">
        <f>K79</f>
        <v>0.901263</v>
      </c>
    </row>
    <row r="80" spans="1:14" ht="12.75">
      <c r="A80" s="39"/>
      <c r="B80" s="39"/>
      <c r="C80" s="63" t="s">
        <v>1327</v>
      </c>
      <c r="D80" s="39"/>
      <c r="E80" s="64">
        <v>51.15</v>
      </c>
      <c r="F80" s="39"/>
      <c r="G80" s="39"/>
      <c r="H80" s="39"/>
      <c r="I80" s="39"/>
      <c r="J80" s="39"/>
      <c r="K80" s="39"/>
      <c r="L80" s="39"/>
      <c r="M80" s="39"/>
      <c r="N80" s="39"/>
    </row>
    <row r="81" spans="1:48" ht="12.75">
      <c r="A81" s="59" t="s">
        <v>527</v>
      </c>
      <c r="B81" s="59" t="s">
        <v>902</v>
      </c>
      <c r="C81" s="59" t="s">
        <v>1328</v>
      </c>
      <c r="D81" s="59" t="s">
        <v>146</v>
      </c>
      <c r="E81" s="60">
        <v>33.1</v>
      </c>
      <c r="F81" s="61"/>
      <c r="G81" s="61">
        <f>E81*AE81</f>
        <v>0</v>
      </c>
      <c r="H81" s="61">
        <f>I81-G81</f>
        <v>0</v>
      </c>
      <c r="I81" s="61">
        <f>E81*F81</f>
        <v>0</v>
      </c>
      <c r="J81" s="61">
        <v>0.01716</v>
      </c>
      <c r="K81" s="61">
        <f>E81*J81</f>
        <v>0.5679960000000001</v>
      </c>
      <c r="L81" s="62" t="s">
        <v>170</v>
      </c>
      <c r="M81" s="39"/>
      <c r="N81" s="39"/>
      <c r="P81" s="11">
        <f>IF(AG81="5",I81,0)</f>
        <v>0</v>
      </c>
      <c r="R81" s="11">
        <f>IF(AG81="1",G81,0)</f>
        <v>0</v>
      </c>
      <c r="S81" s="11">
        <f>IF(AG81="1",H81,0)</f>
        <v>0</v>
      </c>
      <c r="T81" s="11">
        <f>IF(AG81="7",G81,0)</f>
        <v>0</v>
      </c>
      <c r="U81" s="11">
        <f>IF(AG81="7",H81,0)</f>
        <v>0</v>
      </c>
      <c r="V81" s="11">
        <f>IF(AG81="2",G81,0)</f>
        <v>0</v>
      </c>
      <c r="W81" s="11">
        <f>IF(AG81="2",H81,0)</f>
        <v>0</v>
      </c>
      <c r="X81" s="11">
        <f>IF(AG81="0",I81,0)</f>
        <v>0</v>
      </c>
      <c r="Y81" s="6"/>
      <c r="Z81" s="4">
        <f>IF(AD81=0,I81,0)</f>
        <v>0</v>
      </c>
      <c r="AA81" s="4">
        <f>IF(AD81=15,I81,0)</f>
        <v>0</v>
      </c>
      <c r="AB81" s="4">
        <f>IF(AD81=21,I81,0)</f>
        <v>0</v>
      </c>
      <c r="AD81" s="11">
        <v>21</v>
      </c>
      <c r="AE81" s="11">
        <f>F81*0.170977528089888</f>
        <v>0</v>
      </c>
      <c r="AF81" s="11">
        <f>F81*(1-0.170977528089888)</f>
        <v>0</v>
      </c>
      <c r="AG81" s="7" t="s">
        <v>498</v>
      </c>
      <c r="AM81" s="11">
        <f>E81*AE81</f>
        <v>0</v>
      </c>
      <c r="AN81" s="11">
        <f>E81*AF81</f>
        <v>0</v>
      </c>
      <c r="AO81" s="12" t="s">
        <v>184</v>
      </c>
      <c r="AP81" s="12" t="s">
        <v>222</v>
      </c>
      <c r="AQ81" s="6" t="s">
        <v>234</v>
      </c>
      <c r="AS81" s="11">
        <f>AM81+AN81</f>
        <v>0</v>
      </c>
      <c r="AT81" s="11">
        <f>F81/(100-AU81)*100</f>
        <v>0</v>
      </c>
      <c r="AU81" s="11">
        <v>0</v>
      </c>
      <c r="AV81" s="11">
        <f>K81</f>
        <v>0.5679960000000001</v>
      </c>
    </row>
    <row r="82" spans="1:14" ht="12.75">
      <c r="A82" s="39"/>
      <c r="B82" s="39"/>
      <c r="C82" s="63" t="s">
        <v>1329</v>
      </c>
      <c r="D82" s="39"/>
      <c r="E82" s="64">
        <v>33.1</v>
      </c>
      <c r="F82" s="39"/>
      <c r="G82" s="39"/>
      <c r="H82" s="39"/>
      <c r="I82" s="39"/>
      <c r="J82" s="39"/>
      <c r="K82" s="39"/>
      <c r="L82" s="39"/>
      <c r="M82" s="39"/>
      <c r="N82" s="39"/>
    </row>
    <row r="83" spans="1:48" ht="12.75">
      <c r="A83" s="59" t="s">
        <v>528</v>
      </c>
      <c r="B83" s="59" t="s">
        <v>903</v>
      </c>
      <c r="C83" s="59" t="s">
        <v>1330</v>
      </c>
      <c r="D83" s="59" t="s">
        <v>142</v>
      </c>
      <c r="E83" s="60">
        <v>17</v>
      </c>
      <c r="F83" s="61"/>
      <c r="G83" s="61">
        <f>E83*AE83</f>
        <v>0</v>
      </c>
      <c r="H83" s="61">
        <f>I83-G83</f>
        <v>0</v>
      </c>
      <c r="I83" s="61">
        <f>E83*F83</f>
        <v>0</v>
      </c>
      <c r="J83" s="61">
        <v>0.01569</v>
      </c>
      <c r="K83" s="61">
        <f>E83*J83</f>
        <v>0.26672999999999997</v>
      </c>
      <c r="L83" s="62" t="s">
        <v>170</v>
      </c>
      <c r="M83" s="39"/>
      <c r="N83" s="39"/>
      <c r="P83" s="11">
        <f>IF(AG83="5",I83,0)</f>
        <v>0</v>
      </c>
      <c r="R83" s="11">
        <f>IF(AG83="1",G83,0)</f>
        <v>0</v>
      </c>
      <c r="S83" s="11">
        <f>IF(AG83="1",H83,0)</f>
        <v>0</v>
      </c>
      <c r="T83" s="11">
        <f>IF(AG83="7",G83,0)</f>
        <v>0</v>
      </c>
      <c r="U83" s="11">
        <f>IF(AG83="7",H83,0)</f>
        <v>0</v>
      </c>
      <c r="V83" s="11">
        <f>IF(AG83="2",G83,0)</f>
        <v>0</v>
      </c>
      <c r="W83" s="11">
        <f>IF(AG83="2",H83,0)</f>
        <v>0</v>
      </c>
      <c r="X83" s="11">
        <f>IF(AG83="0",I83,0)</f>
        <v>0</v>
      </c>
      <c r="Y83" s="6"/>
      <c r="Z83" s="4">
        <f>IF(AD83=0,I83,0)</f>
        <v>0</v>
      </c>
      <c r="AA83" s="4">
        <f>IF(AD83=15,I83,0)</f>
        <v>0</v>
      </c>
      <c r="AB83" s="4">
        <f>IF(AD83=21,I83,0)</f>
        <v>0</v>
      </c>
      <c r="AD83" s="11">
        <v>21</v>
      </c>
      <c r="AE83" s="11">
        <f>F83*0.479054146053647</f>
        <v>0</v>
      </c>
      <c r="AF83" s="11">
        <f>F83*(1-0.479054146053647)</f>
        <v>0</v>
      </c>
      <c r="AG83" s="7" t="s">
        <v>498</v>
      </c>
      <c r="AM83" s="11">
        <f>E83*AE83</f>
        <v>0</v>
      </c>
      <c r="AN83" s="11">
        <f>E83*AF83</f>
        <v>0</v>
      </c>
      <c r="AO83" s="12" t="s">
        <v>184</v>
      </c>
      <c r="AP83" s="12" t="s">
        <v>222</v>
      </c>
      <c r="AQ83" s="6" t="s">
        <v>234</v>
      </c>
      <c r="AS83" s="11">
        <f>AM83+AN83</f>
        <v>0</v>
      </c>
      <c r="AT83" s="11">
        <f>F83/(100-AU83)*100</f>
        <v>0</v>
      </c>
      <c r="AU83" s="11">
        <v>0</v>
      </c>
      <c r="AV83" s="11">
        <f>K83</f>
        <v>0.26672999999999997</v>
      </c>
    </row>
    <row r="84" spans="1:14" ht="12.75">
      <c r="A84" s="39"/>
      <c r="B84" s="39"/>
      <c r="C84" s="63" t="s">
        <v>1331</v>
      </c>
      <c r="D84" s="39"/>
      <c r="E84" s="64">
        <v>17</v>
      </c>
      <c r="F84" s="39"/>
      <c r="G84" s="39"/>
      <c r="H84" s="39"/>
      <c r="I84" s="39"/>
      <c r="J84" s="39"/>
      <c r="K84" s="39"/>
      <c r="L84" s="39"/>
      <c r="M84" s="39"/>
      <c r="N84" s="39"/>
    </row>
    <row r="85" spans="1:48" ht="12.75">
      <c r="A85" s="59" t="s">
        <v>529</v>
      </c>
      <c r="B85" s="59" t="s">
        <v>904</v>
      </c>
      <c r="C85" s="59" t="s">
        <v>1332</v>
      </c>
      <c r="D85" s="59" t="s">
        <v>142</v>
      </c>
      <c r="E85" s="60">
        <v>17</v>
      </c>
      <c r="F85" s="61"/>
      <c r="G85" s="61">
        <f>E85*AE85</f>
        <v>0</v>
      </c>
      <c r="H85" s="61">
        <f>I85-G85</f>
        <v>0</v>
      </c>
      <c r="I85" s="61">
        <f>E85*F85</f>
        <v>0</v>
      </c>
      <c r="J85" s="61">
        <v>0.00181</v>
      </c>
      <c r="K85" s="61">
        <f>E85*J85</f>
        <v>0.03077</v>
      </c>
      <c r="L85" s="62" t="s">
        <v>170</v>
      </c>
      <c r="M85" s="39"/>
      <c r="N85" s="39"/>
      <c r="P85" s="11">
        <f>IF(AG85="5",I85,0)</f>
        <v>0</v>
      </c>
      <c r="R85" s="11">
        <f>IF(AG85="1",G85,0)</f>
        <v>0</v>
      </c>
      <c r="S85" s="11">
        <f>IF(AG85="1",H85,0)</f>
        <v>0</v>
      </c>
      <c r="T85" s="11">
        <f>IF(AG85="7",G85,0)</f>
        <v>0</v>
      </c>
      <c r="U85" s="11">
        <f>IF(AG85="7",H85,0)</f>
        <v>0</v>
      </c>
      <c r="V85" s="11">
        <f>IF(AG85="2",G85,0)</f>
        <v>0</v>
      </c>
      <c r="W85" s="11">
        <f>IF(AG85="2",H85,0)</f>
        <v>0</v>
      </c>
      <c r="X85" s="11">
        <f>IF(AG85="0",I85,0)</f>
        <v>0</v>
      </c>
      <c r="Y85" s="6"/>
      <c r="Z85" s="4">
        <f>IF(AD85=0,I85,0)</f>
        <v>0</v>
      </c>
      <c r="AA85" s="4">
        <f>IF(AD85=15,I85,0)</f>
        <v>0</v>
      </c>
      <c r="AB85" s="4">
        <f>IF(AD85=21,I85,0)</f>
        <v>0</v>
      </c>
      <c r="AD85" s="11">
        <v>21</v>
      </c>
      <c r="AE85" s="11">
        <f>F85*0.750889679715303</f>
        <v>0</v>
      </c>
      <c r="AF85" s="11">
        <f>F85*(1-0.750889679715303)</f>
        <v>0</v>
      </c>
      <c r="AG85" s="7" t="s">
        <v>498</v>
      </c>
      <c r="AM85" s="11">
        <f>E85*AE85</f>
        <v>0</v>
      </c>
      <c r="AN85" s="11">
        <f>E85*AF85</f>
        <v>0</v>
      </c>
      <c r="AO85" s="12" t="s">
        <v>184</v>
      </c>
      <c r="AP85" s="12" t="s">
        <v>222</v>
      </c>
      <c r="AQ85" s="6" t="s">
        <v>234</v>
      </c>
      <c r="AS85" s="11">
        <f>AM85+AN85</f>
        <v>0</v>
      </c>
      <c r="AT85" s="11">
        <f>F85/(100-AU85)*100</f>
        <v>0</v>
      </c>
      <c r="AU85" s="11">
        <v>0</v>
      </c>
      <c r="AV85" s="11">
        <f>K85</f>
        <v>0.03077</v>
      </c>
    </row>
    <row r="86" spans="1:14" ht="12.75">
      <c r="A86" s="39"/>
      <c r="B86" s="39"/>
      <c r="C86" s="63" t="s">
        <v>1333</v>
      </c>
      <c r="D86" s="39"/>
      <c r="E86" s="64">
        <v>17</v>
      </c>
      <c r="F86" s="39"/>
      <c r="G86" s="39"/>
      <c r="H86" s="39"/>
      <c r="I86" s="39"/>
      <c r="J86" s="39"/>
      <c r="K86" s="39"/>
      <c r="L86" s="39"/>
      <c r="M86" s="39"/>
      <c r="N86" s="39"/>
    </row>
    <row r="87" spans="1:48" ht="12.75">
      <c r="A87" s="59" t="s">
        <v>530</v>
      </c>
      <c r="B87" s="59" t="s">
        <v>905</v>
      </c>
      <c r="C87" s="59" t="s">
        <v>1334</v>
      </c>
      <c r="D87" s="59" t="s">
        <v>144</v>
      </c>
      <c r="E87" s="60">
        <v>1</v>
      </c>
      <c r="F87" s="61"/>
      <c r="G87" s="61">
        <f>E87*AE87</f>
        <v>0</v>
      </c>
      <c r="H87" s="61">
        <f>I87-G87</f>
        <v>0</v>
      </c>
      <c r="I87" s="61">
        <f>E87*F87</f>
        <v>0</v>
      </c>
      <c r="J87" s="61">
        <v>0.01028</v>
      </c>
      <c r="K87" s="61">
        <f>E87*J87</f>
        <v>0.01028</v>
      </c>
      <c r="L87" s="62" t="s">
        <v>170</v>
      </c>
      <c r="M87" s="39"/>
      <c r="N87" s="39"/>
      <c r="P87" s="11">
        <f>IF(AG87="5",I87,0)</f>
        <v>0</v>
      </c>
      <c r="R87" s="11">
        <f>IF(AG87="1",G87,0)</f>
        <v>0</v>
      </c>
      <c r="S87" s="11">
        <f>IF(AG87="1",H87,0)</f>
        <v>0</v>
      </c>
      <c r="T87" s="11">
        <f>IF(AG87="7",G87,0)</f>
        <v>0</v>
      </c>
      <c r="U87" s="11">
        <f>IF(AG87="7",H87,0)</f>
        <v>0</v>
      </c>
      <c r="V87" s="11">
        <f>IF(AG87="2",G87,0)</f>
        <v>0</v>
      </c>
      <c r="W87" s="11">
        <f>IF(AG87="2",H87,0)</f>
        <v>0</v>
      </c>
      <c r="X87" s="11">
        <f>IF(AG87="0",I87,0)</f>
        <v>0</v>
      </c>
      <c r="Y87" s="6"/>
      <c r="Z87" s="4">
        <f>IF(AD87=0,I87,0)</f>
        <v>0</v>
      </c>
      <c r="AA87" s="4">
        <f>IF(AD87=15,I87,0)</f>
        <v>0</v>
      </c>
      <c r="AB87" s="4">
        <f>IF(AD87=21,I87,0)</f>
        <v>0</v>
      </c>
      <c r="AD87" s="11">
        <v>21</v>
      </c>
      <c r="AE87" s="11">
        <f>F87*0.898975732217573</f>
        <v>0</v>
      </c>
      <c r="AF87" s="11">
        <f>F87*(1-0.898975732217573)</f>
        <v>0</v>
      </c>
      <c r="AG87" s="7" t="s">
        <v>498</v>
      </c>
      <c r="AM87" s="11">
        <f>E87*AE87</f>
        <v>0</v>
      </c>
      <c r="AN87" s="11">
        <f>E87*AF87</f>
        <v>0</v>
      </c>
      <c r="AO87" s="12" t="s">
        <v>184</v>
      </c>
      <c r="AP87" s="12" t="s">
        <v>222</v>
      </c>
      <c r="AQ87" s="6" t="s">
        <v>234</v>
      </c>
      <c r="AS87" s="11">
        <f>AM87+AN87</f>
        <v>0</v>
      </c>
      <c r="AT87" s="11">
        <f>F87/(100-AU87)*100</f>
        <v>0</v>
      </c>
      <c r="AU87" s="11">
        <v>0</v>
      </c>
      <c r="AV87" s="11">
        <f>K87</f>
        <v>0.01028</v>
      </c>
    </row>
    <row r="88" spans="1:14" ht="12.75">
      <c r="A88" s="39"/>
      <c r="B88" s="39"/>
      <c r="C88" s="63" t="s">
        <v>1335</v>
      </c>
      <c r="D88" s="39"/>
      <c r="E88" s="64">
        <v>1</v>
      </c>
      <c r="F88" s="39"/>
      <c r="G88" s="39"/>
      <c r="H88" s="39"/>
      <c r="I88" s="39"/>
      <c r="J88" s="39"/>
      <c r="K88" s="39"/>
      <c r="L88" s="39"/>
      <c r="M88" s="39"/>
      <c r="N88" s="39"/>
    </row>
    <row r="89" spans="1:14" ht="12.75">
      <c r="A89" s="39"/>
      <c r="B89" s="65" t="s">
        <v>872</v>
      </c>
      <c r="C89" s="303" t="s">
        <v>1336</v>
      </c>
      <c r="D89" s="304"/>
      <c r="E89" s="304"/>
      <c r="F89" s="304"/>
      <c r="G89" s="304"/>
      <c r="H89" s="304"/>
      <c r="I89" s="304"/>
      <c r="J89" s="304"/>
      <c r="K89" s="304"/>
      <c r="L89" s="304"/>
      <c r="M89" s="39"/>
      <c r="N89" s="39"/>
    </row>
    <row r="90" spans="1:37" ht="12.75">
      <c r="A90" s="66"/>
      <c r="B90" s="67" t="s">
        <v>538</v>
      </c>
      <c r="C90" s="305" t="s">
        <v>1337</v>
      </c>
      <c r="D90" s="306"/>
      <c r="E90" s="306"/>
      <c r="F90" s="306"/>
      <c r="G90" s="68">
        <f>SUM(G91:G138)</f>
        <v>0</v>
      </c>
      <c r="H90" s="68">
        <f>SUM(H91:H138)</f>
        <v>0</v>
      </c>
      <c r="I90" s="68">
        <f>G90+H90</f>
        <v>0</v>
      </c>
      <c r="J90" s="69"/>
      <c r="K90" s="68">
        <f>SUM(K91:K138)</f>
        <v>35.986558689999995</v>
      </c>
      <c r="L90" s="69"/>
      <c r="M90" s="39"/>
      <c r="N90" s="39"/>
      <c r="Y90" s="6"/>
      <c r="AI90" s="13">
        <f>SUM(Z91:Z138)</f>
        <v>0</v>
      </c>
      <c r="AJ90" s="13">
        <f>SUM(AA91:AA138)</f>
        <v>0</v>
      </c>
      <c r="AK90" s="13">
        <f>SUM(AB91:AB138)</f>
        <v>0</v>
      </c>
    </row>
    <row r="91" spans="1:48" ht="12.75">
      <c r="A91" s="59" t="s">
        <v>531</v>
      </c>
      <c r="B91" s="59" t="s">
        <v>906</v>
      </c>
      <c r="C91" s="59" t="s">
        <v>1338</v>
      </c>
      <c r="D91" s="59" t="s">
        <v>143</v>
      </c>
      <c r="E91" s="60">
        <v>0.036</v>
      </c>
      <c r="F91" s="61"/>
      <c r="G91" s="61">
        <f>E91*AE91</f>
        <v>0</v>
      </c>
      <c r="H91" s="61">
        <f>I91-G91</f>
        <v>0</v>
      </c>
      <c r="I91" s="61">
        <f>E91*F91</f>
        <v>0</v>
      </c>
      <c r="J91" s="61">
        <v>0.01901</v>
      </c>
      <c r="K91" s="61">
        <f>E91*J91</f>
        <v>0.00068436</v>
      </c>
      <c r="L91" s="62" t="s">
        <v>170</v>
      </c>
      <c r="M91" s="39"/>
      <c r="N91" s="39"/>
      <c r="P91" s="11">
        <f>IF(AG91="5",I91,0)</f>
        <v>0</v>
      </c>
      <c r="R91" s="11">
        <f>IF(AG91="1",G91,0)</f>
        <v>0</v>
      </c>
      <c r="S91" s="11">
        <f>IF(AG91="1",H91,0)</f>
        <v>0</v>
      </c>
      <c r="T91" s="11">
        <f>IF(AG91="7",G91,0)</f>
        <v>0</v>
      </c>
      <c r="U91" s="11">
        <f>IF(AG91="7",H91,0)</f>
        <v>0</v>
      </c>
      <c r="V91" s="11">
        <f>IF(AG91="2",G91,0)</f>
        <v>0</v>
      </c>
      <c r="W91" s="11">
        <f>IF(AG91="2",H91,0)</f>
        <v>0</v>
      </c>
      <c r="X91" s="11">
        <f>IF(AG91="0",I91,0)</f>
        <v>0</v>
      </c>
      <c r="Y91" s="6"/>
      <c r="Z91" s="4">
        <f>IF(AD91=0,I91,0)</f>
        <v>0</v>
      </c>
      <c r="AA91" s="4">
        <f>IF(AD91=15,I91,0)</f>
        <v>0</v>
      </c>
      <c r="AB91" s="4">
        <f>IF(AD91=21,I91,0)</f>
        <v>0</v>
      </c>
      <c r="AD91" s="11">
        <v>21</v>
      </c>
      <c r="AE91" s="11">
        <f>F91*0.0028605577689243</f>
        <v>0</v>
      </c>
      <c r="AF91" s="11">
        <f>F91*(1-0.0028605577689243)</f>
        <v>0</v>
      </c>
      <c r="AG91" s="7" t="s">
        <v>498</v>
      </c>
      <c r="AM91" s="11">
        <f>E91*AE91</f>
        <v>0</v>
      </c>
      <c r="AN91" s="11">
        <f>E91*AF91</f>
        <v>0</v>
      </c>
      <c r="AO91" s="12" t="s">
        <v>185</v>
      </c>
      <c r="AP91" s="12" t="s">
        <v>223</v>
      </c>
      <c r="AQ91" s="6" t="s">
        <v>234</v>
      </c>
      <c r="AS91" s="11">
        <f>AM91+AN91</f>
        <v>0</v>
      </c>
      <c r="AT91" s="11">
        <f>F91/(100-AU91)*100</f>
        <v>0</v>
      </c>
      <c r="AU91" s="11">
        <v>0</v>
      </c>
      <c r="AV91" s="11">
        <f>K91</f>
        <v>0.00068436</v>
      </c>
    </row>
    <row r="92" spans="1:14" ht="12.75">
      <c r="A92" s="39"/>
      <c r="B92" s="39"/>
      <c r="C92" s="63" t="s">
        <v>1339</v>
      </c>
      <c r="D92" s="39"/>
      <c r="E92" s="64">
        <v>0.036</v>
      </c>
      <c r="F92" s="39"/>
      <c r="G92" s="39"/>
      <c r="H92" s="39"/>
      <c r="I92" s="39"/>
      <c r="J92" s="39"/>
      <c r="K92" s="39"/>
      <c r="L92" s="39"/>
      <c r="M92" s="39"/>
      <c r="N92" s="39"/>
    </row>
    <row r="93" spans="1:48" ht="12.75">
      <c r="A93" s="70" t="s">
        <v>532</v>
      </c>
      <c r="B93" s="70" t="s">
        <v>907</v>
      </c>
      <c r="C93" s="70" t="s">
        <v>1340</v>
      </c>
      <c r="D93" s="70" t="s">
        <v>143</v>
      </c>
      <c r="E93" s="71">
        <v>0.039</v>
      </c>
      <c r="F93" s="72"/>
      <c r="G93" s="72">
        <f>E93*AE93</f>
        <v>0</v>
      </c>
      <c r="H93" s="72">
        <f>I93-G93</f>
        <v>0</v>
      </c>
      <c r="I93" s="72">
        <f>E93*F93</f>
        <v>0</v>
      </c>
      <c r="J93" s="72">
        <v>1</v>
      </c>
      <c r="K93" s="72">
        <f>E93*J93</f>
        <v>0.039</v>
      </c>
      <c r="L93" s="73" t="s">
        <v>170</v>
      </c>
      <c r="M93" s="39"/>
      <c r="N93" s="39"/>
      <c r="P93" s="11">
        <f>IF(AG93="5",I93,0)</f>
        <v>0</v>
      </c>
      <c r="R93" s="11">
        <f>IF(AG93="1",G93,0)</f>
        <v>0</v>
      </c>
      <c r="S93" s="11">
        <f>IF(AG93="1",H93,0)</f>
        <v>0</v>
      </c>
      <c r="T93" s="11">
        <f>IF(AG93="7",G93,0)</f>
        <v>0</v>
      </c>
      <c r="U93" s="11">
        <f>IF(AG93="7",H93,0)</f>
        <v>0</v>
      </c>
      <c r="V93" s="11">
        <f>IF(AG93="2",G93,0)</f>
        <v>0</v>
      </c>
      <c r="W93" s="11">
        <f>IF(AG93="2",H93,0)</f>
        <v>0</v>
      </c>
      <c r="X93" s="11">
        <f>IF(AG93="0",I93,0)</f>
        <v>0</v>
      </c>
      <c r="Y93" s="6"/>
      <c r="Z93" s="5">
        <f>IF(AD93=0,I93,0)</f>
        <v>0</v>
      </c>
      <c r="AA93" s="5">
        <f>IF(AD93=15,I93,0)</f>
        <v>0</v>
      </c>
      <c r="AB93" s="5">
        <f>IF(AD93=21,I93,0)</f>
        <v>0</v>
      </c>
      <c r="AD93" s="11">
        <v>21</v>
      </c>
      <c r="AE93" s="11">
        <f>F93*1</f>
        <v>0</v>
      </c>
      <c r="AF93" s="11">
        <f>F93*(1-1)</f>
        <v>0</v>
      </c>
      <c r="AG93" s="8" t="s">
        <v>498</v>
      </c>
      <c r="AM93" s="11">
        <f>E93*AE93</f>
        <v>0</v>
      </c>
      <c r="AN93" s="11">
        <f>E93*AF93</f>
        <v>0</v>
      </c>
      <c r="AO93" s="12" t="s">
        <v>185</v>
      </c>
      <c r="AP93" s="12" t="s">
        <v>223</v>
      </c>
      <c r="AQ93" s="6" t="s">
        <v>234</v>
      </c>
      <c r="AS93" s="11">
        <f>AM93+AN93</f>
        <v>0</v>
      </c>
      <c r="AT93" s="11">
        <f>F93/(100-AU93)*100</f>
        <v>0</v>
      </c>
      <c r="AU93" s="11">
        <v>0</v>
      </c>
      <c r="AV93" s="11">
        <f>K93</f>
        <v>0.039</v>
      </c>
    </row>
    <row r="94" spans="1:14" ht="12.75">
      <c r="A94" s="39"/>
      <c r="B94" s="39"/>
      <c r="C94" s="63" t="s">
        <v>1341</v>
      </c>
      <c r="D94" s="39"/>
      <c r="E94" s="64">
        <v>0.036</v>
      </c>
      <c r="F94" s="39"/>
      <c r="G94" s="39"/>
      <c r="H94" s="39"/>
      <c r="I94" s="39"/>
      <c r="J94" s="39"/>
      <c r="K94" s="39"/>
      <c r="L94" s="39"/>
      <c r="M94" s="39"/>
      <c r="N94" s="39"/>
    </row>
    <row r="95" spans="1:14" ht="12.75">
      <c r="A95" s="39"/>
      <c r="B95" s="39"/>
      <c r="C95" s="63" t="s">
        <v>1342</v>
      </c>
      <c r="D95" s="39"/>
      <c r="E95" s="64">
        <v>0.003</v>
      </c>
      <c r="F95" s="39"/>
      <c r="G95" s="39"/>
      <c r="H95" s="39"/>
      <c r="I95" s="39"/>
      <c r="J95" s="39"/>
      <c r="K95" s="39"/>
      <c r="L95" s="39"/>
      <c r="M95" s="39"/>
      <c r="N95" s="39"/>
    </row>
    <row r="96" spans="1:48" ht="12.75">
      <c r="A96" s="59" t="s">
        <v>533</v>
      </c>
      <c r="B96" s="59" t="s">
        <v>908</v>
      </c>
      <c r="C96" s="59" t="s">
        <v>1343</v>
      </c>
      <c r="D96" s="59" t="s">
        <v>142</v>
      </c>
      <c r="E96" s="60">
        <v>2.625</v>
      </c>
      <c r="F96" s="61"/>
      <c r="G96" s="61">
        <f>E96*AE96</f>
        <v>0</v>
      </c>
      <c r="H96" s="61">
        <f>I96-G96</f>
        <v>0</v>
      </c>
      <c r="I96" s="61">
        <f>E96*F96</f>
        <v>0</v>
      </c>
      <c r="J96" s="61">
        <v>0.01317</v>
      </c>
      <c r="K96" s="61">
        <f>E96*J96</f>
        <v>0.03457125</v>
      </c>
      <c r="L96" s="62" t="s">
        <v>170</v>
      </c>
      <c r="M96" s="39"/>
      <c r="N96" s="39"/>
      <c r="P96" s="11">
        <f>IF(AG96="5",I96,0)</f>
        <v>0</v>
      </c>
      <c r="R96" s="11">
        <f>IF(AG96="1",G96,0)</f>
        <v>0</v>
      </c>
      <c r="S96" s="11">
        <f>IF(AG96="1",H96,0)</f>
        <v>0</v>
      </c>
      <c r="T96" s="11">
        <f>IF(AG96="7",G96,0)</f>
        <v>0</v>
      </c>
      <c r="U96" s="11">
        <f>IF(AG96="7",H96,0)</f>
        <v>0</v>
      </c>
      <c r="V96" s="11">
        <f>IF(AG96="2",G96,0)</f>
        <v>0</v>
      </c>
      <c r="W96" s="11">
        <f>IF(AG96="2",H96,0)</f>
        <v>0</v>
      </c>
      <c r="X96" s="11">
        <f>IF(AG96="0",I96,0)</f>
        <v>0</v>
      </c>
      <c r="Y96" s="6"/>
      <c r="Z96" s="4">
        <f>IF(AD96=0,I96,0)</f>
        <v>0</v>
      </c>
      <c r="AA96" s="4">
        <f>IF(AD96=15,I96,0)</f>
        <v>0</v>
      </c>
      <c r="AB96" s="4">
        <f>IF(AD96=21,I96,0)</f>
        <v>0</v>
      </c>
      <c r="AD96" s="11">
        <v>21</v>
      </c>
      <c r="AE96" s="11">
        <f>F96*0.921578947368421</f>
        <v>0</v>
      </c>
      <c r="AF96" s="11">
        <f>F96*(1-0.921578947368421)</f>
        <v>0</v>
      </c>
      <c r="AG96" s="7" t="s">
        <v>498</v>
      </c>
      <c r="AM96" s="11">
        <f>E96*AE96</f>
        <v>0</v>
      </c>
      <c r="AN96" s="11">
        <f>E96*AF96</f>
        <v>0</v>
      </c>
      <c r="AO96" s="12" t="s">
        <v>185</v>
      </c>
      <c r="AP96" s="12" t="s">
        <v>223</v>
      </c>
      <c r="AQ96" s="6" t="s">
        <v>234</v>
      </c>
      <c r="AS96" s="11">
        <f>AM96+AN96</f>
        <v>0</v>
      </c>
      <c r="AT96" s="11">
        <f>F96/(100-AU96)*100</f>
        <v>0</v>
      </c>
      <c r="AU96" s="11">
        <v>0</v>
      </c>
      <c r="AV96" s="11">
        <f>K96</f>
        <v>0.03457125</v>
      </c>
    </row>
    <row r="97" spans="1:14" ht="12.75">
      <c r="A97" s="39"/>
      <c r="B97" s="39"/>
      <c r="C97" s="63" t="s">
        <v>1344</v>
      </c>
      <c r="D97" s="39"/>
      <c r="E97" s="64">
        <v>2.625</v>
      </c>
      <c r="F97" s="39"/>
      <c r="G97" s="39"/>
      <c r="H97" s="39"/>
      <c r="I97" s="39"/>
      <c r="J97" s="39"/>
      <c r="K97" s="39"/>
      <c r="L97" s="39"/>
      <c r="M97" s="39"/>
      <c r="N97" s="39"/>
    </row>
    <row r="98" spans="1:48" ht="12.75">
      <c r="A98" s="59" t="s">
        <v>534</v>
      </c>
      <c r="B98" s="59" t="s">
        <v>909</v>
      </c>
      <c r="C98" s="59" t="s">
        <v>1345</v>
      </c>
      <c r="D98" s="59" t="s">
        <v>141</v>
      </c>
      <c r="E98" s="60">
        <v>8.071</v>
      </c>
      <c r="F98" s="61"/>
      <c r="G98" s="61">
        <f>E98*AE98</f>
        <v>0</v>
      </c>
      <c r="H98" s="61">
        <f>I98-G98</f>
        <v>0</v>
      </c>
      <c r="I98" s="61">
        <f>E98*F98</f>
        <v>0</v>
      </c>
      <c r="J98" s="61">
        <v>2.52514</v>
      </c>
      <c r="K98" s="61">
        <f>E98*J98</f>
        <v>20.38040494</v>
      </c>
      <c r="L98" s="62" t="s">
        <v>170</v>
      </c>
      <c r="M98" s="39"/>
      <c r="N98" s="39"/>
      <c r="P98" s="11">
        <f>IF(AG98="5",I98,0)</f>
        <v>0</v>
      </c>
      <c r="R98" s="11">
        <f>IF(AG98="1",G98,0)</f>
        <v>0</v>
      </c>
      <c r="S98" s="11">
        <f>IF(AG98="1",H98,0)</f>
        <v>0</v>
      </c>
      <c r="T98" s="11">
        <f>IF(AG98="7",G98,0)</f>
        <v>0</v>
      </c>
      <c r="U98" s="11">
        <f>IF(AG98="7",H98,0)</f>
        <v>0</v>
      </c>
      <c r="V98" s="11">
        <f>IF(AG98="2",G98,0)</f>
        <v>0</v>
      </c>
      <c r="W98" s="11">
        <f>IF(AG98="2",H98,0)</f>
        <v>0</v>
      </c>
      <c r="X98" s="11">
        <f>IF(AG98="0",I98,0)</f>
        <v>0</v>
      </c>
      <c r="Y98" s="6"/>
      <c r="Z98" s="4">
        <f>IF(AD98=0,I98,0)</f>
        <v>0</v>
      </c>
      <c r="AA98" s="4">
        <f>IF(AD98=15,I98,0)</f>
        <v>0</v>
      </c>
      <c r="AB98" s="4">
        <f>IF(AD98=21,I98,0)</f>
        <v>0</v>
      </c>
      <c r="AD98" s="11">
        <v>21</v>
      </c>
      <c r="AE98" s="11">
        <f>F98*0.850298850574713</f>
        <v>0</v>
      </c>
      <c r="AF98" s="11">
        <f>F98*(1-0.850298850574713)</f>
        <v>0</v>
      </c>
      <c r="AG98" s="7" t="s">
        <v>498</v>
      </c>
      <c r="AM98" s="11">
        <f>E98*AE98</f>
        <v>0</v>
      </c>
      <c r="AN98" s="11">
        <f>E98*AF98</f>
        <v>0</v>
      </c>
      <c r="AO98" s="12" t="s">
        <v>185</v>
      </c>
      <c r="AP98" s="12" t="s">
        <v>223</v>
      </c>
      <c r="AQ98" s="6" t="s">
        <v>234</v>
      </c>
      <c r="AS98" s="11">
        <f>AM98+AN98</f>
        <v>0</v>
      </c>
      <c r="AT98" s="11">
        <f>F98/(100-AU98)*100</f>
        <v>0</v>
      </c>
      <c r="AU98" s="11">
        <v>0</v>
      </c>
      <c r="AV98" s="11">
        <f>K98</f>
        <v>20.38040494</v>
      </c>
    </row>
    <row r="99" spans="1:14" ht="12.75">
      <c r="A99" s="39"/>
      <c r="B99" s="39"/>
      <c r="C99" s="63" t="s">
        <v>1346</v>
      </c>
      <c r="D99" s="39"/>
      <c r="E99" s="64">
        <v>8.071</v>
      </c>
      <c r="F99" s="39"/>
      <c r="G99" s="39"/>
      <c r="H99" s="39"/>
      <c r="I99" s="39"/>
      <c r="J99" s="39"/>
      <c r="K99" s="39"/>
      <c r="L99" s="39"/>
      <c r="M99" s="39"/>
      <c r="N99" s="39"/>
    </row>
    <row r="100" spans="1:48" ht="12.75">
      <c r="A100" s="59" t="s">
        <v>535</v>
      </c>
      <c r="B100" s="59" t="s">
        <v>908</v>
      </c>
      <c r="C100" s="59" t="s">
        <v>1343</v>
      </c>
      <c r="D100" s="59" t="s">
        <v>142</v>
      </c>
      <c r="E100" s="60">
        <v>84.963</v>
      </c>
      <c r="F100" s="61"/>
      <c r="G100" s="61">
        <f>E100*AE100</f>
        <v>0</v>
      </c>
      <c r="H100" s="61">
        <f>I100-G100</f>
        <v>0</v>
      </c>
      <c r="I100" s="61">
        <f>E100*F100</f>
        <v>0</v>
      </c>
      <c r="J100" s="61">
        <v>0.01317</v>
      </c>
      <c r="K100" s="61">
        <f>E100*J100</f>
        <v>1.11896271</v>
      </c>
      <c r="L100" s="62" t="s">
        <v>170</v>
      </c>
      <c r="M100" s="39"/>
      <c r="N100" s="39"/>
      <c r="P100" s="11">
        <f>IF(AG100="5",I100,0)</f>
        <v>0</v>
      </c>
      <c r="R100" s="11">
        <f>IF(AG100="1",G100,0)</f>
        <v>0</v>
      </c>
      <c r="S100" s="11">
        <f>IF(AG100="1",H100,0)</f>
        <v>0</v>
      </c>
      <c r="T100" s="11">
        <f>IF(AG100="7",G100,0)</f>
        <v>0</v>
      </c>
      <c r="U100" s="11">
        <f>IF(AG100="7",H100,0)</f>
        <v>0</v>
      </c>
      <c r="V100" s="11">
        <f>IF(AG100="2",G100,0)</f>
        <v>0</v>
      </c>
      <c r="W100" s="11">
        <f>IF(AG100="2",H100,0)</f>
        <v>0</v>
      </c>
      <c r="X100" s="11">
        <f>IF(AG100="0",I100,0)</f>
        <v>0</v>
      </c>
      <c r="Y100" s="6"/>
      <c r="Z100" s="4">
        <f>IF(AD100=0,I100,0)</f>
        <v>0</v>
      </c>
      <c r="AA100" s="4">
        <f>IF(AD100=15,I100,0)</f>
        <v>0</v>
      </c>
      <c r="AB100" s="4">
        <f>IF(AD100=21,I100,0)</f>
        <v>0</v>
      </c>
      <c r="AD100" s="11">
        <v>21</v>
      </c>
      <c r="AE100" s="11">
        <f>F100*0.921578947368421</f>
        <v>0</v>
      </c>
      <c r="AF100" s="11">
        <f>F100*(1-0.921578947368421)</f>
        <v>0</v>
      </c>
      <c r="AG100" s="7" t="s">
        <v>498</v>
      </c>
      <c r="AM100" s="11">
        <f>E100*AE100</f>
        <v>0</v>
      </c>
      <c r="AN100" s="11">
        <f>E100*AF100</f>
        <v>0</v>
      </c>
      <c r="AO100" s="12" t="s">
        <v>185</v>
      </c>
      <c r="AP100" s="12" t="s">
        <v>223</v>
      </c>
      <c r="AQ100" s="6" t="s">
        <v>234</v>
      </c>
      <c r="AS100" s="11">
        <f>AM100+AN100</f>
        <v>0</v>
      </c>
      <c r="AT100" s="11">
        <f>F100/(100-AU100)*100</f>
        <v>0</v>
      </c>
      <c r="AU100" s="11">
        <v>0</v>
      </c>
      <c r="AV100" s="11">
        <f>K100</f>
        <v>1.11896271</v>
      </c>
    </row>
    <row r="101" spans="1:14" ht="12.75">
      <c r="A101" s="39"/>
      <c r="B101" s="39"/>
      <c r="C101" s="63" t="s">
        <v>1347</v>
      </c>
      <c r="D101" s="39"/>
      <c r="E101" s="64">
        <v>84.963</v>
      </c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48" ht="12.75">
      <c r="A102" s="59" t="s">
        <v>536</v>
      </c>
      <c r="B102" s="59" t="s">
        <v>910</v>
      </c>
      <c r="C102" s="59" t="s">
        <v>1348</v>
      </c>
      <c r="D102" s="59" t="s">
        <v>143</v>
      </c>
      <c r="E102" s="60">
        <v>1.541</v>
      </c>
      <c r="F102" s="61"/>
      <c r="G102" s="61">
        <f>E102*AE102</f>
        <v>0</v>
      </c>
      <c r="H102" s="61">
        <f>I102-G102</f>
        <v>0</v>
      </c>
      <c r="I102" s="61">
        <f>E102*F102</f>
        <v>0</v>
      </c>
      <c r="J102" s="61">
        <v>0.01663</v>
      </c>
      <c r="K102" s="61">
        <f>E102*J102</f>
        <v>0.025626829999999996</v>
      </c>
      <c r="L102" s="62" t="s">
        <v>170</v>
      </c>
      <c r="M102" s="39"/>
      <c r="N102" s="39"/>
      <c r="P102" s="11">
        <f>IF(AG102="5",I102,0)</f>
        <v>0</v>
      </c>
      <c r="R102" s="11">
        <f>IF(AG102="1",G102,0)</f>
        <v>0</v>
      </c>
      <c r="S102" s="11">
        <f>IF(AG102="1",H102,0)</f>
        <v>0</v>
      </c>
      <c r="T102" s="11">
        <f>IF(AG102="7",G102,0)</f>
        <v>0</v>
      </c>
      <c r="U102" s="11">
        <f>IF(AG102="7",H102,0)</f>
        <v>0</v>
      </c>
      <c r="V102" s="11">
        <f>IF(AG102="2",G102,0)</f>
        <v>0</v>
      </c>
      <c r="W102" s="11">
        <f>IF(AG102="2",H102,0)</f>
        <v>0</v>
      </c>
      <c r="X102" s="11">
        <f>IF(AG102="0",I102,0)</f>
        <v>0</v>
      </c>
      <c r="Y102" s="6"/>
      <c r="Z102" s="4">
        <f>IF(AD102=0,I102,0)</f>
        <v>0</v>
      </c>
      <c r="AA102" s="4">
        <f>IF(AD102=15,I102,0)</f>
        <v>0</v>
      </c>
      <c r="AB102" s="4">
        <f>IF(AD102=21,I102,0)</f>
        <v>0</v>
      </c>
      <c r="AD102" s="11">
        <v>21</v>
      </c>
      <c r="AE102" s="11">
        <f>F102*0.00272998137802607</f>
        <v>0</v>
      </c>
      <c r="AF102" s="11">
        <f>F102*(1-0.00272998137802607)</f>
        <v>0</v>
      </c>
      <c r="AG102" s="7" t="s">
        <v>498</v>
      </c>
      <c r="AM102" s="11">
        <f>E102*AE102</f>
        <v>0</v>
      </c>
      <c r="AN102" s="11">
        <f>E102*AF102</f>
        <v>0</v>
      </c>
      <c r="AO102" s="12" t="s">
        <v>185</v>
      </c>
      <c r="AP102" s="12" t="s">
        <v>223</v>
      </c>
      <c r="AQ102" s="6" t="s">
        <v>234</v>
      </c>
      <c r="AS102" s="11">
        <f>AM102+AN102</f>
        <v>0</v>
      </c>
      <c r="AT102" s="11">
        <f>F102/(100-AU102)*100</f>
        <v>0</v>
      </c>
      <c r="AU102" s="11">
        <v>0</v>
      </c>
      <c r="AV102" s="11">
        <f>K102</f>
        <v>0.025626829999999996</v>
      </c>
    </row>
    <row r="103" spans="1:14" ht="12.75">
      <c r="A103" s="39"/>
      <c r="B103" s="39"/>
      <c r="C103" s="63" t="s">
        <v>1349</v>
      </c>
      <c r="D103" s="39"/>
      <c r="E103" s="64">
        <v>1.293</v>
      </c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ht="12.75">
      <c r="A104" s="39"/>
      <c r="B104" s="39"/>
      <c r="C104" s="63" t="s">
        <v>1350</v>
      </c>
      <c r="D104" s="39"/>
      <c r="E104" s="64">
        <v>0.248</v>
      </c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48" ht="12.75">
      <c r="A105" s="70" t="s">
        <v>537</v>
      </c>
      <c r="B105" s="70" t="s">
        <v>911</v>
      </c>
      <c r="C105" s="70" t="s">
        <v>1351</v>
      </c>
      <c r="D105" s="70" t="s">
        <v>143</v>
      </c>
      <c r="E105" s="71">
        <v>1.396</v>
      </c>
      <c r="F105" s="72"/>
      <c r="G105" s="72">
        <f>E105*AE105</f>
        <v>0</v>
      </c>
      <c r="H105" s="72">
        <f>I105-G105</f>
        <v>0</v>
      </c>
      <c r="I105" s="72">
        <f>E105*F105</f>
        <v>0</v>
      </c>
      <c r="J105" s="72">
        <v>1</v>
      </c>
      <c r="K105" s="72">
        <f>E105*J105</f>
        <v>1.396</v>
      </c>
      <c r="L105" s="73" t="s">
        <v>170</v>
      </c>
      <c r="M105" s="39"/>
      <c r="N105" s="39"/>
      <c r="P105" s="11">
        <f>IF(AG105="5",I105,0)</f>
        <v>0</v>
      </c>
      <c r="R105" s="11">
        <f>IF(AG105="1",G105,0)</f>
        <v>0</v>
      </c>
      <c r="S105" s="11">
        <f>IF(AG105="1",H105,0)</f>
        <v>0</v>
      </c>
      <c r="T105" s="11">
        <f>IF(AG105="7",G105,0)</f>
        <v>0</v>
      </c>
      <c r="U105" s="11">
        <f>IF(AG105="7",H105,0)</f>
        <v>0</v>
      </c>
      <c r="V105" s="11">
        <f>IF(AG105="2",G105,0)</f>
        <v>0</v>
      </c>
      <c r="W105" s="11">
        <f>IF(AG105="2",H105,0)</f>
        <v>0</v>
      </c>
      <c r="X105" s="11">
        <f>IF(AG105="0",I105,0)</f>
        <v>0</v>
      </c>
      <c r="Y105" s="6"/>
      <c r="Z105" s="5">
        <f>IF(AD105=0,I105,0)</f>
        <v>0</v>
      </c>
      <c r="AA105" s="5">
        <f>IF(AD105=15,I105,0)</f>
        <v>0</v>
      </c>
      <c r="AB105" s="5">
        <f>IF(AD105=21,I105,0)</f>
        <v>0</v>
      </c>
      <c r="AD105" s="11">
        <v>21</v>
      </c>
      <c r="AE105" s="11">
        <f>F105*1</f>
        <v>0</v>
      </c>
      <c r="AF105" s="11">
        <f>F105*(1-1)</f>
        <v>0</v>
      </c>
      <c r="AG105" s="8" t="s">
        <v>498</v>
      </c>
      <c r="AM105" s="11">
        <f>E105*AE105</f>
        <v>0</v>
      </c>
      <c r="AN105" s="11">
        <f>E105*AF105</f>
        <v>0</v>
      </c>
      <c r="AO105" s="12" t="s">
        <v>185</v>
      </c>
      <c r="AP105" s="12" t="s">
        <v>223</v>
      </c>
      <c r="AQ105" s="6" t="s">
        <v>234</v>
      </c>
      <c r="AS105" s="11">
        <f>AM105+AN105</f>
        <v>0</v>
      </c>
      <c r="AT105" s="11">
        <f>F105/(100-AU105)*100</f>
        <v>0</v>
      </c>
      <c r="AU105" s="11">
        <v>0</v>
      </c>
      <c r="AV105" s="11">
        <f>K105</f>
        <v>1.396</v>
      </c>
    </row>
    <row r="106" spans="1:14" ht="12.75">
      <c r="A106" s="39"/>
      <c r="B106" s="39"/>
      <c r="C106" s="63" t="s">
        <v>1349</v>
      </c>
      <c r="D106" s="39"/>
      <c r="E106" s="64">
        <v>1.293</v>
      </c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ht="12.75">
      <c r="A107" s="39"/>
      <c r="B107" s="39"/>
      <c r="C107" s="63" t="s">
        <v>1352</v>
      </c>
      <c r="D107" s="39"/>
      <c r="E107" s="64">
        <v>0.103</v>
      </c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48" ht="12.75">
      <c r="A108" s="70" t="s">
        <v>538</v>
      </c>
      <c r="B108" s="70" t="s">
        <v>887</v>
      </c>
      <c r="C108" s="70" t="s">
        <v>1295</v>
      </c>
      <c r="D108" s="70" t="s">
        <v>143</v>
      </c>
      <c r="E108" s="71">
        <v>0.268</v>
      </c>
      <c r="F108" s="72"/>
      <c r="G108" s="72">
        <f>E108*AE108</f>
        <v>0</v>
      </c>
      <c r="H108" s="72">
        <f>I108-G108</f>
        <v>0</v>
      </c>
      <c r="I108" s="72">
        <f>E108*F108</f>
        <v>0</v>
      </c>
      <c r="J108" s="72">
        <v>1</v>
      </c>
      <c r="K108" s="72">
        <f>E108*J108</f>
        <v>0.268</v>
      </c>
      <c r="L108" s="73" t="s">
        <v>170</v>
      </c>
      <c r="M108" s="39"/>
      <c r="N108" s="39"/>
      <c r="P108" s="11">
        <f>IF(AG108="5",I108,0)</f>
        <v>0</v>
      </c>
      <c r="R108" s="11">
        <f>IF(AG108="1",G108,0)</f>
        <v>0</v>
      </c>
      <c r="S108" s="11">
        <f>IF(AG108="1",H108,0)</f>
        <v>0</v>
      </c>
      <c r="T108" s="11">
        <f>IF(AG108="7",G108,0)</f>
        <v>0</v>
      </c>
      <c r="U108" s="11">
        <f>IF(AG108="7",H108,0)</f>
        <v>0</v>
      </c>
      <c r="V108" s="11">
        <f>IF(AG108="2",G108,0)</f>
        <v>0</v>
      </c>
      <c r="W108" s="11">
        <f>IF(AG108="2",H108,0)</f>
        <v>0</v>
      </c>
      <c r="X108" s="11">
        <f>IF(AG108="0",I108,0)</f>
        <v>0</v>
      </c>
      <c r="Y108" s="6"/>
      <c r="Z108" s="5">
        <f>IF(AD108=0,I108,0)</f>
        <v>0</v>
      </c>
      <c r="AA108" s="5">
        <f>IF(AD108=15,I108,0)</f>
        <v>0</v>
      </c>
      <c r="AB108" s="5">
        <f>IF(AD108=21,I108,0)</f>
        <v>0</v>
      </c>
      <c r="AD108" s="11">
        <v>21</v>
      </c>
      <c r="AE108" s="11">
        <f>F108*1</f>
        <v>0</v>
      </c>
      <c r="AF108" s="11">
        <f>F108*(1-1)</f>
        <v>0</v>
      </c>
      <c r="AG108" s="8" t="s">
        <v>498</v>
      </c>
      <c r="AM108" s="11">
        <f>E108*AE108</f>
        <v>0</v>
      </c>
      <c r="AN108" s="11">
        <f>E108*AF108</f>
        <v>0</v>
      </c>
      <c r="AO108" s="12" t="s">
        <v>185</v>
      </c>
      <c r="AP108" s="12" t="s">
        <v>223</v>
      </c>
      <c r="AQ108" s="6" t="s">
        <v>234</v>
      </c>
      <c r="AS108" s="11">
        <f>AM108+AN108</f>
        <v>0</v>
      </c>
      <c r="AT108" s="11">
        <f>F108/(100-AU108)*100</f>
        <v>0</v>
      </c>
      <c r="AU108" s="11">
        <v>0</v>
      </c>
      <c r="AV108" s="11">
        <f>K108</f>
        <v>0.268</v>
      </c>
    </row>
    <row r="109" spans="1:14" ht="12.75">
      <c r="A109" s="39"/>
      <c r="B109" s="39"/>
      <c r="C109" s="63" t="s">
        <v>1350</v>
      </c>
      <c r="D109" s="39"/>
      <c r="E109" s="64">
        <v>0.248</v>
      </c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ht="12.75">
      <c r="A110" s="39"/>
      <c r="B110" s="39"/>
      <c r="C110" s="63" t="s">
        <v>1353</v>
      </c>
      <c r="D110" s="39"/>
      <c r="E110" s="64">
        <v>0.02</v>
      </c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48" ht="12.75">
      <c r="A111" s="59" t="s">
        <v>539</v>
      </c>
      <c r="B111" s="59" t="s">
        <v>912</v>
      </c>
      <c r="C111" s="59" t="s">
        <v>1354</v>
      </c>
      <c r="D111" s="59" t="s">
        <v>143</v>
      </c>
      <c r="E111" s="60">
        <v>0.115</v>
      </c>
      <c r="F111" s="61"/>
      <c r="G111" s="61">
        <f>E111*AE111</f>
        <v>0</v>
      </c>
      <c r="H111" s="61">
        <f>I111-G111</f>
        <v>0</v>
      </c>
      <c r="I111" s="61">
        <f>E111*F111</f>
        <v>0</v>
      </c>
      <c r="J111" s="61">
        <v>1.05544</v>
      </c>
      <c r="K111" s="61">
        <f>E111*J111</f>
        <v>0.1213756</v>
      </c>
      <c r="L111" s="62" t="s">
        <v>170</v>
      </c>
      <c r="M111" s="39"/>
      <c r="N111" s="39"/>
      <c r="P111" s="11">
        <f>IF(AG111="5",I111,0)</f>
        <v>0</v>
      </c>
      <c r="R111" s="11">
        <f>IF(AG111="1",G111,0)</f>
        <v>0</v>
      </c>
      <c r="S111" s="11">
        <f>IF(AG111="1",H111,0)</f>
        <v>0</v>
      </c>
      <c r="T111" s="11">
        <f>IF(AG111="7",G111,0)</f>
        <v>0</v>
      </c>
      <c r="U111" s="11">
        <f>IF(AG111="7",H111,0)</f>
        <v>0</v>
      </c>
      <c r="V111" s="11">
        <f>IF(AG111="2",G111,0)</f>
        <v>0</v>
      </c>
      <c r="W111" s="11">
        <f>IF(AG111="2",H111,0)</f>
        <v>0</v>
      </c>
      <c r="X111" s="11">
        <f>IF(AG111="0",I111,0)</f>
        <v>0</v>
      </c>
      <c r="Y111" s="6"/>
      <c r="Z111" s="4">
        <f>IF(AD111=0,I111,0)</f>
        <v>0</v>
      </c>
      <c r="AA111" s="4">
        <f>IF(AD111=15,I111,0)</f>
        <v>0</v>
      </c>
      <c r="AB111" s="4">
        <f>IF(AD111=21,I111,0)</f>
        <v>0</v>
      </c>
      <c r="AD111" s="11">
        <v>21</v>
      </c>
      <c r="AE111" s="11">
        <f>F111*0.826427959116386</f>
        <v>0</v>
      </c>
      <c r="AF111" s="11">
        <f>F111*(1-0.826427959116386)</f>
        <v>0</v>
      </c>
      <c r="AG111" s="7" t="s">
        <v>498</v>
      </c>
      <c r="AM111" s="11">
        <f>E111*AE111</f>
        <v>0</v>
      </c>
      <c r="AN111" s="11">
        <f>E111*AF111</f>
        <v>0</v>
      </c>
      <c r="AO111" s="12" t="s">
        <v>185</v>
      </c>
      <c r="AP111" s="12" t="s">
        <v>223</v>
      </c>
      <c r="AQ111" s="6" t="s">
        <v>234</v>
      </c>
      <c r="AS111" s="11">
        <f>AM111+AN111</f>
        <v>0</v>
      </c>
      <c r="AT111" s="11">
        <f>F111/(100-AU111)*100</f>
        <v>0</v>
      </c>
      <c r="AU111" s="11">
        <v>0</v>
      </c>
      <c r="AV111" s="11">
        <f>K111</f>
        <v>0.1213756</v>
      </c>
    </row>
    <row r="112" spans="1:14" ht="12.75">
      <c r="A112" s="39"/>
      <c r="B112" s="39"/>
      <c r="C112" s="63" t="s">
        <v>1355</v>
      </c>
      <c r="D112" s="39"/>
      <c r="E112" s="64">
        <v>0.115</v>
      </c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48" ht="12.75">
      <c r="A113" s="59" t="s">
        <v>540</v>
      </c>
      <c r="B113" s="59" t="s">
        <v>913</v>
      </c>
      <c r="C113" s="59" t="s">
        <v>1356</v>
      </c>
      <c r="D113" s="59" t="s">
        <v>142</v>
      </c>
      <c r="E113" s="60">
        <v>302.5</v>
      </c>
      <c r="F113" s="61"/>
      <c r="G113" s="61">
        <f>E113*AE113</f>
        <v>0</v>
      </c>
      <c r="H113" s="61">
        <f>I113-G113</f>
        <v>0</v>
      </c>
      <c r="I113" s="61">
        <f>E113*F113</f>
        <v>0</v>
      </c>
      <c r="J113" s="61">
        <v>0.01323</v>
      </c>
      <c r="K113" s="61">
        <f>E113*J113</f>
        <v>4.0020750000000005</v>
      </c>
      <c r="L113" s="62" t="s">
        <v>170</v>
      </c>
      <c r="M113" s="39"/>
      <c r="N113" s="39"/>
      <c r="P113" s="11">
        <f>IF(AG113="5",I113,0)</f>
        <v>0</v>
      </c>
      <c r="R113" s="11">
        <f>IF(AG113="1",G113,0)</f>
        <v>0</v>
      </c>
      <c r="S113" s="11">
        <f>IF(AG113="1",H113,0)</f>
        <v>0</v>
      </c>
      <c r="T113" s="11">
        <f>IF(AG113="7",G113,0)</f>
        <v>0</v>
      </c>
      <c r="U113" s="11">
        <f>IF(AG113="7",H113,0)</f>
        <v>0</v>
      </c>
      <c r="V113" s="11">
        <f>IF(AG113="2",G113,0)</f>
        <v>0</v>
      </c>
      <c r="W113" s="11">
        <f>IF(AG113="2",H113,0)</f>
        <v>0</v>
      </c>
      <c r="X113" s="11">
        <f>IF(AG113="0",I113,0)</f>
        <v>0</v>
      </c>
      <c r="Y113" s="6"/>
      <c r="Z113" s="4">
        <f>IF(AD113=0,I113,0)</f>
        <v>0</v>
      </c>
      <c r="AA113" s="4">
        <f>IF(AD113=15,I113,0)</f>
        <v>0</v>
      </c>
      <c r="AB113" s="4">
        <f>IF(AD113=21,I113,0)</f>
        <v>0</v>
      </c>
      <c r="AD113" s="11">
        <v>21</v>
      </c>
      <c r="AE113" s="11">
        <f>F113*0.328336329208914</f>
        <v>0</v>
      </c>
      <c r="AF113" s="11">
        <f>F113*(1-0.328336329208914)</f>
        <v>0</v>
      </c>
      <c r="AG113" s="7" t="s">
        <v>498</v>
      </c>
      <c r="AM113" s="11">
        <f>E113*AE113</f>
        <v>0</v>
      </c>
      <c r="AN113" s="11">
        <f>E113*AF113</f>
        <v>0</v>
      </c>
      <c r="AO113" s="12" t="s">
        <v>185</v>
      </c>
      <c r="AP113" s="12" t="s">
        <v>223</v>
      </c>
      <c r="AQ113" s="6" t="s">
        <v>234</v>
      </c>
      <c r="AS113" s="11">
        <f>AM113+AN113</f>
        <v>0</v>
      </c>
      <c r="AT113" s="11">
        <f>F113/(100-AU113)*100</f>
        <v>0</v>
      </c>
      <c r="AU113" s="11">
        <v>0</v>
      </c>
      <c r="AV113" s="11">
        <f>K113</f>
        <v>4.0020750000000005</v>
      </c>
    </row>
    <row r="114" spans="1:14" ht="12.75">
      <c r="A114" s="39"/>
      <c r="B114" s="39"/>
      <c r="C114" s="63" t="s">
        <v>1357</v>
      </c>
      <c r="D114" s="39"/>
      <c r="E114" s="64">
        <v>223.3</v>
      </c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ht="12.75">
      <c r="A115" s="39"/>
      <c r="B115" s="39"/>
      <c r="C115" s="63" t="s">
        <v>1358</v>
      </c>
      <c r="D115" s="39"/>
      <c r="E115" s="64">
        <v>79.2</v>
      </c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48" ht="12.75">
      <c r="A116" s="59" t="s">
        <v>541</v>
      </c>
      <c r="B116" s="59" t="s">
        <v>914</v>
      </c>
      <c r="C116" s="59" t="s">
        <v>1359</v>
      </c>
      <c r="D116" s="59" t="s">
        <v>142</v>
      </c>
      <c r="E116" s="60">
        <v>59.9</v>
      </c>
      <c r="F116" s="61"/>
      <c r="G116" s="61">
        <f>E116*AE116</f>
        <v>0</v>
      </c>
      <c r="H116" s="61">
        <f>I116-G116</f>
        <v>0</v>
      </c>
      <c r="I116" s="61">
        <f>E116*F116</f>
        <v>0</v>
      </c>
      <c r="J116" s="61">
        <v>0.02017</v>
      </c>
      <c r="K116" s="61">
        <f>E116*J116</f>
        <v>1.208183</v>
      </c>
      <c r="L116" s="62" t="s">
        <v>170</v>
      </c>
      <c r="M116" s="39"/>
      <c r="N116" s="39"/>
      <c r="P116" s="11">
        <f>IF(AG116="5",I116,0)</f>
        <v>0</v>
      </c>
      <c r="R116" s="11">
        <f>IF(AG116="1",G116,0)</f>
        <v>0</v>
      </c>
      <c r="S116" s="11">
        <f>IF(AG116="1",H116,0)</f>
        <v>0</v>
      </c>
      <c r="T116" s="11">
        <f>IF(AG116="7",G116,0)</f>
        <v>0</v>
      </c>
      <c r="U116" s="11">
        <f>IF(AG116="7",H116,0)</f>
        <v>0</v>
      </c>
      <c r="V116" s="11">
        <f>IF(AG116="2",G116,0)</f>
        <v>0</v>
      </c>
      <c r="W116" s="11">
        <f>IF(AG116="2",H116,0)</f>
        <v>0</v>
      </c>
      <c r="X116" s="11">
        <f>IF(AG116="0",I116,0)</f>
        <v>0</v>
      </c>
      <c r="Y116" s="6"/>
      <c r="Z116" s="4">
        <f>IF(AD116=0,I116,0)</f>
        <v>0</v>
      </c>
      <c r="AA116" s="4">
        <f>IF(AD116=15,I116,0)</f>
        <v>0</v>
      </c>
      <c r="AB116" s="4">
        <f>IF(AD116=21,I116,0)</f>
        <v>0</v>
      </c>
      <c r="AD116" s="11">
        <v>21</v>
      </c>
      <c r="AE116" s="11">
        <f>F116*0.370770676691729</f>
        <v>0</v>
      </c>
      <c r="AF116" s="11">
        <f>F116*(1-0.370770676691729)</f>
        <v>0</v>
      </c>
      <c r="AG116" s="7" t="s">
        <v>498</v>
      </c>
      <c r="AM116" s="11">
        <f>E116*AE116</f>
        <v>0</v>
      </c>
      <c r="AN116" s="11">
        <f>E116*AF116</f>
        <v>0</v>
      </c>
      <c r="AO116" s="12" t="s">
        <v>185</v>
      </c>
      <c r="AP116" s="12" t="s">
        <v>223</v>
      </c>
      <c r="AQ116" s="6" t="s">
        <v>234</v>
      </c>
      <c r="AS116" s="11">
        <f>AM116+AN116</f>
        <v>0</v>
      </c>
      <c r="AT116" s="11">
        <f>F116/(100-AU116)*100</f>
        <v>0</v>
      </c>
      <c r="AU116" s="11">
        <v>0</v>
      </c>
      <c r="AV116" s="11">
        <f>K116</f>
        <v>1.208183</v>
      </c>
    </row>
    <row r="117" spans="1:14" ht="12.75">
      <c r="A117" s="39"/>
      <c r="B117" s="39"/>
      <c r="C117" s="63" t="s">
        <v>1360</v>
      </c>
      <c r="D117" s="39"/>
      <c r="E117" s="64">
        <v>59.9</v>
      </c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48" ht="12.75">
      <c r="A118" s="59" t="s">
        <v>542</v>
      </c>
      <c r="B118" s="59" t="s">
        <v>915</v>
      </c>
      <c r="C118" s="59" t="s">
        <v>1361</v>
      </c>
      <c r="D118" s="59" t="s">
        <v>142</v>
      </c>
      <c r="E118" s="60">
        <v>59.9</v>
      </c>
      <c r="F118" s="61"/>
      <c r="G118" s="61">
        <f>E118*AE118</f>
        <v>0</v>
      </c>
      <c r="H118" s="61">
        <f>I118-G118</f>
        <v>0</v>
      </c>
      <c r="I118" s="61">
        <f>E118*F118</f>
        <v>0</v>
      </c>
      <c r="J118" s="61">
        <v>0.00181</v>
      </c>
      <c r="K118" s="61">
        <f>E118*J118</f>
        <v>0.108419</v>
      </c>
      <c r="L118" s="62" t="s">
        <v>170</v>
      </c>
      <c r="M118" s="39"/>
      <c r="N118" s="39"/>
      <c r="P118" s="11">
        <f>IF(AG118="5",I118,0)</f>
        <v>0</v>
      </c>
      <c r="R118" s="11">
        <f>IF(AG118="1",G118,0)</f>
        <v>0</v>
      </c>
      <c r="S118" s="11">
        <f>IF(AG118="1",H118,0)</f>
        <v>0</v>
      </c>
      <c r="T118" s="11">
        <f>IF(AG118="7",G118,0)</f>
        <v>0</v>
      </c>
      <c r="U118" s="11">
        <f>IF(AG118="7",H118,0)</f>
        <v>0</v>
      </c>
      <c r="V118" s="11">
        <f>IF(AG118="2",G118,0)</f>
        <v>0</v>
      </c>
      <c r="W118" s="11">
        <f>IF(AG118="2",H118,0)</f>
        <v>0</v>
      </c>
      <c r="X118" s="11">
        <f>IF(AG118="0",I118,0)</f>
        <v>0</v>
      </c>
      <c r="Y118" s="6"/>
      <c r="Z118" s="4">
        <f>IF(AD118=0,I118,0)</f>
        <v>0</v>
      </c>
      <c r="AA118" s="4">
        <f>IF(AD118=15,I118,0)</f>
        <v>0</v>
      </c>
      <c r="AB118" s="4">
        <f>IF(AD118=21,I118,0)</f>
        <v>0</v>
      </c>
      <c r="AD118" s="11">
        <v>21</v>
      </c>
      <c r="AE118" s="11">
        <f>F118*0.661933534743202</f>
        <v>0</v>
      </c>
      <c r="AF118" s="11">
        <f>F118*(1-0.661933534743202)</f>
        <v>0</v>
      </c>
      <c r="AG118" s="7" t="s">
        <v>498</v>
      </c>
      <c r="AM118" s="11">
        <f>E118*AE118</f>
        <v>0</v>
      </c>
      <c r="AN118" s="11">
        <f>E118*AF118</f>
        <v>0</v>
      </c>
      <c r="AO118" s="12" t="s">
        <v>185</v>
      </c>
      <c r="AP118" s="12" t="s">
        <v>223</v>
      </c>
      <c r="AQ118" s="6" t="s">
        <v>234</v>
      </c>
      <c r="AS118" s="11">
        <f>AM118+AN118</f>
        <v>0</v>
      </c>
      <c r="AT118" s="11">
        <f>F118/(100-AU118)*100</f>
        <v>0</v>
      </c>
      <c r="AU118" s="11">
        <v>0</v>
      </c>
      <c r="AV118" s="11">
        <f>K118</f>
        <v>0.108419</v>
      </c>
    </row>
    <row r="119" spans="1:14" ht="12.75">
      <c r="A119" s="39"/>
      <c r="B119" s="39"/>
      <c r="C119" s="63" t="s">
        <v>1362</v>
      </c>
      <c r="D119" s="39"/>
      <c r="E119" s="64">
        <v>59.9</v>
      </c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48" ht="12.75">
      <c r="A120" s="59" t="s">
        <v>543</v>
      </c>
      <c r="B120" s="59" t="s">
        <v>916</v>
      </c>
      <c r="C120" s="59" t="s">
        <v>1363</v>
      </c>
      <c r="D120" s="59" t="s">
        <v>142</v>
      </c>
      <c r="E120" s="60">
        <v>18.7</v>
      </c>
      <c r="F120" s="61"/>
      <c r="G120" s="61">
        <f>E120*AE120</f>
        <v>0</v>
      </c>
      <c r="H120" s="61">
        <f>I120-G120</f>
        <v>0</v>
      </c>
      <c r="I120" s="61">
        <f>E120*F120</f>
        <v>0</v>
      </c>
      <c r="J120" s="61">
        <v>0.01841</v>
      </c>
      <c r="K120" s="61">
        <f>E120*J120</f>
        <v>0.344267</v>
      </c>
      <c r="L120" s="62" t="s">
        <v>170</v>
      </c>
      <c r="M120" s="39"/>
      <c r="N120" s="39"/>
      <c r="P120" s="11">
        <f>IF(AG120="5",I120,0)</f>
        <v>0</v>
      </c>
      <c r="R120" s="11">
        <f>IF(AG120="1",G120,0)</f>
        <v>0</v>
      </c>
      <c r="S120" s="11">
        <f>IF(AG120="1",H120,0)</f>
        <v>0</v>
      </c>
      <c r="T120" s="11">
        <f>IF(AG120="7",G120,0)</f>
        <v>0</v>
      </c>
      <c r="U120" s="11">
        <f>IF(AG120="7",H120,0)</f>
        <v>0</v>
      </c>
      <c r="V120" s="11">
        <f>IF(AG120="2",G120,0)</f>
        <v>0</v>
      </c>
      <c r="W120" s="11">
        <f>IF(AG120="2",H120,0)</f>
        <v>0</v>
      </c>
      <c r="X120" s="11">
        <f>IF(AG120="0",I120,0)</f>
        <v>0</v>
      </c>
      <c r="Y120" s="6"/>
      <c r="Z120" s="4">
        <f>IF(AD120=0,I120,0)</f>
        <v>0</v>
      </c>
      <c r="AA120" s="4">
        <f>IF(AD120=15,I120,0)</f>
        <v>0</v>
      </c>
      <c r="AB120" s="4">
        <f>IF(AD120=21,I120,0)</f>
        <v>0</v>
      </c>
      <c r="AD120" s="11">
        <v>21</v>
      </c>
      <c r="AE120" s="11">
        <f>F120*0.443516483516483</f>
        <v>0</v>
      </c>
      <c r="AF120" s="11">
        <f>F120*(1-0.443516483516483)</f>
        <v>0</v>
      </c>
      <c r="AG120" s="7" t="s">
        <v>498</v>
      </c>
      <c r="AM120" s="11">
        <f>E120*AE120</f>
        <v>0</v>
      </c>
      <c r="AN120" s="11">
        <f>E120*AF120</f>
        <v>0</v>
      </c>
      <c r="AO120" s="12" t="s">
        <v>185</v>
      </c>
      <c r="AP120" s="12" t="s">
        <v>223</v>
      </c>
      <c r="AQ120" s="6" t="s">
        <v>234</v>
      </c>
      <c r="AS120" s="11">
        <f>AM120+AN120</f>
        <v>0</v>
      </c>
      <c r="AT120" s="11">
        <f>F120/(100-AU120)*100</f>
        <v>0</v>
      </c>
      <c r="AU120" s="11">
        <v>0</v>
      </c>
      <c r="AV120" s="11">
        <f>K120</f>
        <v>0.344267</v>
      </c>
    </row>
    <row r="121" spans="1:14" ht="12.75">
      <c r="A121" s="39"/>
      <c r="B121" s="39"/>
      <c r="C121" s="63" t="s">
        <v>1364</v>
      </c>
      <c r="D121" s="39"/>
      <c r="E121" s="64">
        <v>18.7</v>
      </c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48" ht="12.75">
      <c r="A122" s="59" t="s">
        <v>544</v>
      </c>
      <c r="B122" s="59" t="s">
        <v>917</v>
      </c>
      <c r="C122" s="59" t="s">
        <v>1365</v>
      </c>
      <c r="D122" s="59" t="s">
        <v>142</v>
      </c>
      <c r="E122" s="60">
        <v>4.6</v>
      </c>
      <c r="F122" s="61"/>
      <c r="G122" s="61">
        <f>E122*AE122</f>
        <v>0</v>
      </c>
      <c r="H122" s="61">
        <f>I122-G122</f>
        <v>0</v>
      </c>
      <c r="I122" s="61">
        <f>E122*F122</f>
        <v>0</v>
      </c>
      <c r="J122" s="61">
        <v>0.01323</v>
      </c>
      <c r="K122" s="61">
        <f>E122*J122</f>
        <v>0.060857999999999995</v>
      </c>
      <c r="L122" s="62" t="s">
        <v>170</v>
      </c>
      <c r="M122" s="39"/>
      <c r="N122" s="39"/>
      <c r="P122" s="11">
        <f>IF(AG122="5",I122,0)</f>
        <v>0</v>
      </c>
      <c r="R122" s="11">
        <f>IF(AG122="1",G122,0)</f>
        <v>0</v>
      </c>
      <c r="S122" s="11">
        <f>IF(AG122="1",H122,0)</f>
        <v>0</v>
      </c>
      <c r="T122" s="11">
        <f>IF(AG122="7",G122,0)</f>
        <v>0</v>
      </c>
      <c r="U122" s="11">
        <f>IF(AG122="7",H122,0)</f>
        <v>0</v>
      </c>
      <c r="V122" s="11">
        <f>IF(AG122="2",G122,0)</f>
        <v>0</v>
      </c>
      <c r="W122" s="11">
        <f>IF(AG122="2",H122,0)</f>
        <v>0</v>
      </c>
      <c r="X122" s="11">
        <f>IF(AG122="0",I122,0)</f>
        <v>0</v>
      </c>
      <c r="Y122" s="6"/>
      <c r="Z122" s="4">
        <f>IF(AD122=0,I122,0)</f>
        <v>0</v>
      </c>
      <c r="AA122" s="4">
        <f>IF(AD122=15,I122,0)</f>
        <v>0</v>
      </c>
      <c r="AB122" s="4">
        <f>IF(AD122=21,I122,0)</f>
        <v>0</v>
      </c>
      <c r="AD122" s="11">
        <v>21</v>
      </c>
      <c r="AE122" s="11">
        <f>F122*0.371137726507737</f>
        <v>0</v>
      </c>
      <c r="AF122" s="11">
        <f>F122*(1-0.371137726507737)</f>
        <v>0</v>
      </c>
      <c r="AG122" s="7" t="s">
        <v>498</v>
      </c>
      <c r="AM122" s="11">
        <f>E122*AE122</f>
        <v>0</v>
      </c>
      <c r="AN122" s="11">
        <f>E122*AF122</f>
        <v>0</v>
      </c>
      <c r="AO122" s="12" t="s">
        <v>185</v>
      </c>
      <c r="AP122" s="12" t="s">
        <v>223</v>
      </c>
      <c r="AQ122" s="6" t="s">
        <v>234</v>
      </c>
      <c r="AS122" s="11">
        <f>AM122+AN122</f>
        <v>0</v>
      </c>
      <c r="AT122" s="11">
        <f>F122/(100-AU122)*100</f>
        <v>0</v>
      </c>
      <c r="AU122" s="11">
        <v>0</v>
      </c>
      <c r="AV122" s="11">
        <f>K122</f>
        <v>0.060857999999999995</v>
      </c>
    </row>
    <row r="123" spans="1:14" ht="12.75">
      <c r="A123" s="39"/>
      <c r="B123" s="39"/>
      <c r="C123" s="63" t="s">
        <v>1366</v>
      </c>
      <c r="D123" s="39"/>
      <c r="E123" s="64">
        <v>4.6</v>
      </c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48" ht="12.75">
      <c r="A124" s="59" t="s">
        <v>545</v>
      </c>
      <c r="B124" s="59" t="s">
        <v>918</v>
      </c>
      <c r="C124" s="59" t="s">
        <v>1367</v>
      </c>
      <c r="D124" s="59" t="s">
        <v>146</v>
      </c>
      <c r="E124" s="60">
        <v>20.375</v>
      </c>
      <c r="F124" s="61"/>
      <c r="G124" s="61">
        <f>E124*AE124</f>
        <v>0</v>
      </c>
      <c r="H124" s="61">
        <f>I124-G124</f>
        <v>0</v>
      </c>
      <c r="I124" s="61">
        <f>E124*F124</f>
        <v>0</v>
      </c>
      <c r="J124" s="61">
        <v>0.13663</v>
      </c>
      <c r="K124" s="61">
        <f>E124*J124</f>
        <v>2.7838362500000002</v>
      </c>
      <c r="L124" s="62" t="s">
        <v>170</v>
      </c>
      <c r="M124" s="39"/>
      <c r="N124" s="39"/>
      <c r="P124" s="11">
        <f>IF(AG124="5",I124,0)</f>
        <v>0</v>
      </c>
      <c r="R124" s="11">
        <f>IF(AG124="1",G124,0)</f>
        <v>0</v>
      </c>
      <c r="S124" s="11">
        <f>IF(AG124="1",H124,0)</f>
        <v>0</v>
      </c>
      <c r="T124" s="11">
        <f>IF(AG124="7",G124,0)</f>
        <v>0</v>
      </c>
      <c r="U124" s="11">
        <f>IF(AG124="7",H124,0)</f>
        <v>0</v>
      </c>
      <c r="V124" s="11">
        <f>IF(AG124="2",G124,0)</f>
        <v>0</v>
      </c>
      <c r="W124" s="11">
        <f>IF(AG124="2",H124,0)</f>
        <v>0</v>
      </c>
      <c r="X124" s="11">
        <f>IF(AG124="0",I124,0)</f>
        <v>0</v>
      </c>
      <c r="Y124" s="6"/>
      <c r="Z124" s="4">
        <f>IF(AD124=0,I124,0)</f>
        <v>0</v>
      </c>
      <c r="AA124" s="4">
        <f>IF(AD124=15,I124,0)</f>
        <v>0</v>
      </c>
      <c r="AB124" s="4">
        <f>IF(AD124=21,I124,0)</f>
        <v>0</v>
      </c>
      <c r="AD124" s="11">
        <v>21</v>
      </c>
      <c r="AE124" s="11">
        <f>F124*0.731060869565217</f>
        <v>0</v>
      </c>
      <c r="AF124" s="11">
        <f>F124*(1-0.731060869565217)</f>
        <v>0</v>
      </c>
      <c r="AG124" s="7" t="s">
        <v>498</v>
      </c>
      <c r="AM124" s="11">
        <f>E124*AE124</f>
        <v>0</v>
      </c>
      <c r="AN124" s="11">
        <f>E124*AF124</f>
        <v>0</v>
      </c>
      <c r="AO124" s="12" t="s">
        <v>185</v>
      </c>
      <c r="AP124" s="12" t="s">
        <v>223</v>
      </c>
      <c r="AQ124" s="6" t="s">
        <v>234</v>
      </c>
      <c r="AS124" s="11">
        <f>AM124+AN124</f>
        <v>0</v>
      </c>
      <c r="AT124" s="11">
        <f>F124/(100-AU124)*100</f>
        <v>0</v>
      </c>
      <c r="AU124" s="11">
        <v>0</v>
      </c>
      <c r="AV124" s="11">
        <f>K124</f>
        <v>2.7838362500000002</v>
      </c>
    </row>
    <row r="125" spans="1:14" ht="12.75">
      <c r="A125" s="39"/>
      <c r="B125" s="39"/>
      <c r="C125" s="63" t="s">
        <v>1368</v>
      </c>
      <c r="D125" s="39"/>
      <c r="E125" s="64">
        <v>20.375</v>
      </c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48" ht="12.75">
      <c r="A126" s="59" t="s">
        <v>546</v>
      </c>
      <c r="B126" s="59" t="s">
        <v>919</v>
      </c>
      <c r="C126" s="59" t="s">
        <v>1369</v>
      </c>
      <c r="D126" s="59" t="s">
        <v>141</v>
      </c>
      <c r="E126" s="60">
        <v>0.872</v>
      </c>
      <c r="F126" s="61"/>
      <c r="G126" s="61">
        <f>E126*AE126</f>
        <v>0</v>
      </c>
      <c r="H126" s="61">
        <f>I126-G126</f>
        <v>0</v>
      </c>
      <c r="I126" s="61">
        <f>E126*F126</f>
        <v>0</v>
      </c>
      <c r="J126" s="61">
        <v>2.52511</v>
      </c>
      <c r="K126" s="61">
        <f>E126*J126</f>
        <v>2.20189592</v>
      </c>
      <c r="L126" s="62" t="s">
        <v>170</v>
      </c>
      <c r="M126" s="39"/>
      <c r="N126" s="39"/>
      <c r="P126" s="11">
        <f>IF(AG126="5",I126,0)</f>
        <v>0</v>
      </c>
      <c r="R126" s="11">
        <f>IF(AG126="1",G126,0)</f>
        <v>0</v>
      </c>
      <c r="S126" s="11">
        <f>IF(AG126="1",H126,0)</f>
        <v>0</v>
      </c>
      <c r="T126" s="11">
        <f>IF(AG126="7",G126,0)</f>
        <v>0</v>
      </c>
      <c r="U126" s="11">
        <f>IF(AG126="7",H126,0)</f>
        <v>0</v>
      </c>
      <c r="V126" s="11">
        <f>IF(AG126="2",G126,0)</f>
        <v>0</v>
      </c>
      <c r="W126" s="11">
        <f>IF(AG126="2",H126,0)</f>
        <v>0</v>
      </c>
      <c r="X126" s="11">
        <f>IF(AG126="0",I126,0)</f>
        <v>0</v>
      </c>
      <c r="Y126" s="6"/>
      <c r="Z126" s="4">
        <f>IF(AD126=0,I126,0)</f>
        <v>0</v>
      </c>
      <c r="AA126" s="4">
        <f>IF(AD126=15,I126,0)</f>
        <v>0</v>
      </c>
      <c r="AB126" s="4">
        <f>IF(AD126=21,I126,0)</f>
        <v>0</v>
      </c>
      <c r="AD126" s="11">
        <v>21</v>
      </c>
      <c r="AE126" s="11">
        <f>F126*0.822671614100186</f>
        <v>0</v>
      </c>
      <c r="AF126" s="11">
        <f>F126*(1-0.822671614100186)</f>
        <v>0</v>
      </c>
      <c r="AG126" s="7" t="s">
        <v>498</v>
      </c>
      <c r="AM126" s="11">
        <f>E126*AE126</f>
        <v>0</v>
      </c>
      <c r="AN126" s="11">
        <f>E126*AF126</f>
        <v>0</v>
      </c>
      <c r="AO126" s="12" t="s">
        <v>185</v>
      </c>
      <c r="AP126" s="12" t="s">
        <v>223</v>
      </c>
      <c r="AQ126" s="6" t="s">
        <v>234</v>
      </c>
      <c r="AS126" s="11">
        <f>AM126+AN126</f>
        <v>0</v>
      </c>
      <c r="AT126" s="11">
        <f>F126/(100-AU126)*100</f>
        <v>0</v>
      </c>
      <c r="AU126" s="11">
        <v>0</v>
      </c>
      <c r="AV126" s="11">
        <f>K126</f>
        <v>2.20189592</v>
      </c>
    </row>
    <row r="127" spans="1:14" ht="12.75">
      <c r="A127" s="39"/>
      <c r="B127" s="39"/>
      <c r="C127" s="63" t="s">
        <v>1370</v>
      </c>
      <c r="D127" s="39"/>
      <c r="E127" s="64">
        <v>0.355</v>
      </c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2.75">
      <c r="A128" s="39"/>
      <c r="B128" s="39"/>
      <c r="C128" s="63" t="s">
        <v>1371</v>
      </c>
      <c r="D128" s="39"/>
      <c r="E128" s="64">
        <v>0.517</v>
      </c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48" ht="12.75">
      <c r="A129" s="59" t="s">
        <v>547</v>
      </c>
      <c r="B129" s="59" t="s">
        <v>920</v>
      </c>
      <c r="C129" s="59" t="s">
        <v>1372</v>
      </c>
      <c r="D129" s="59" t="s">
        <v>146</v>
      </c>
      <c r="E129" s="60">
        <v>12.334</v>
      </c>
      <c r="F129" s="61"/>
      <c r="G129" s="61">
        <f>E129*AE129</f>
        <v>0</v>
      </c>
      <c r="H129" s="61">
        <f>I129-G129</f>
        <v>0</v>
      </c>
      <c r="I129" s="61">
        <f>E129*F129</f>
        <v>0</v>
      </c>
      <c r="J129" s="61">
        <v>0.05242</v>
      </c>
      <c r="K129" s="61">
        <f>E129*J129</f>
        <v>0.64654828</v>
      </c>
      <c r="L129" s="62" t="s">
        <v>170</v>
      </c>
      <c r="M129" s="39"/>
      <c r="N129" s="39"/>
      <c r="P129" s="11">
        <f>IF(AG129="5",I129,0)</f>
        <v>0</v>
      </c>
      <c r="R129" s="11">
        <f>IF(AG129="1",G129,0)</f>
        <v>0</v>
      </c>
      <c r="S129" s="11">
        <f>IF(AG129="1",H129,0)</f>
        <v>0</v>
      </c>
      <c r="T129" s="11">
        <f>IF(AG129="7",G129,0)</f>
        <v>0</v>
      </c>
      <c r="U129" s="11">
        <f>IF(AG129="7",H129,0)</f>
        <v>0</v>
      </c>
      <c r="V129" s="11">
        <f>IF(AG129="2",G129,0)</f>
        <v>0</v>
      </c>
      <c r="W129" s="11">
        <f>IF(AG129="2",H129,0)</f>
        <v>0</v>
      </c>
      <c r="X129" s="11">
        <f>IF(AG129="0",I129,0)</f>
        <v>0</v>
      </c>
      <c r="Y129" s="6"/>
      <c r="Z129" s="4">
        <f>IF(AD129=0,I129,0)</f>
        <v>0</v>
      </c>
      <c r="AA129" s="4">
        <f>IF(AD129=15,I129,0)</f>
        <v>0</v>
      </c>
      <c r="AB129" s="4">
        <f>IF(AD129=21,I129,0)</f>
        <v>0</v>
      </c>
      <c r="AD129" s="11">
        <v>21</v>
      </c>
      <c r="AE129" s="11">
        <f>F129*0.322771084337349</f>
        <v>0</v>
      </c>
      <c r="AF129" s="11">
        <f>F129*(1-0.322771084337349)</f>
        <v>0</v>
      </c>
      <c r="AG129" s="7" t="s">
        <v>498</v>
      </c>
      <c r="AM129" s="11">
        <f>E129*AE129</f>
        <v>0</v>
      </c>
      <c r="AN129" s="11">
        <f>E129*AF129</f>
        <v>0</v>
      </c>
      <c r="AO129" s="12" t="s">
        <v>185</v>
      </c>
      <c r="AP129" s="12" t="s">
        <v>223</v>
      </c>
      <c r="AQ129" s="6" t="s">
        <v>234</v>
      </c>
      <c r="AS129" s="11">
        <f>AM129+AN129</f>
        <v>0</v>
      </c>
      <c r="AT129" s="11">
        <f>F129/(100-AU129)*100</f>
        <v>0</v>
      </c>
      <c r="AU129" s="11">
        <v>0</v>
      </c>
      <c r="AV129" s="11">
        <f>K129</f>
        <v>0.64654828</v>
      </c>
    </row>
    <row r="130" spans="1:14" ht="12.75">
      <c r="A130" s="39"/>
      <c r="B130" s="39"/>
      <c r="C130" s="63" t="s">
        <v>1373</v>
      </c>
      <c r="D130" s="39"/>
      <c r="E130" s="64">
        <v>4.06</v>
      </c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ht="12.75">
      <c r="A131" s="39"/>
      <c r="B131" s="39"/>
      <c r="C131" s="63" t="s">
        <v>1374</v>
      </c>
      <c r="D131" s="39"/>
      <c r="E131" s="64">
        <v>8.274</v>
      </c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1:48" ht="12.75">
      <c r="A132" s="59" t="s">
        <v>548</v>
      </c>
      <c r="B132" s="59" t="s">
        <v>921</v>
      </c>
      <c r="C132" s="59" t="s">
        <v>1375</v>
      </c>
      <c r="D132" s="59" t="s">
        <v>146</v>
      </c>
      <c r="E132" s="60">
        <v>12.334</v>
      </c>
      <c r="F132" s="61"/>
      <c r="G132" s="61">
        <f>E132*AE132</f>
        <v>0</v>
      </c>
      <c r="H132" s="61">
        <f>I132-G132</f>
        <v>0</v>
      </c>
      <c r="I132" s="61">
        <f>E132*F132</f>
        <v>0</v>
      </c>
      <c r="J132" s="61">
        <v>0</v>
      </c>
      <c r="K132" s="61">
        <f>E132*J132</f>
        <v>0</v>
      </c>
      <c r="L132" s="62" t="s">
        <v>170</v>
      </c>
      <c r="M132" s="39"/>
      <c r="N132" s="39"/>
      <c r="P132" s="11">
        <f>IF(AG132="5",I132,0)</f>
        <v>0</v>
      </c>
      <c r="R132" s="11">
        <f>IF(AG132="1",G132,0)</f>
        <v>0</v>
      </c>
      <c r="S132" s="11">
        <f>IF(AG132="1",H132,0)</f>
        <v>0</v>
      </c>
      <c r="T132" s="11">
        <f>IF(AG132="7",G132,0)</f>
        <v>0</v>
      </c>
      <c r="U132" s="11">
        <f>IF(AG132="7",H132,0)</f>
        <v>0</v>
      </c>
      <c r="V132" s="11">
        <f>IF(AG132="2",G132,0)</f>
        <v>0</v>
      </c>
      <c r="W132" s="11">
        <f>IF(AG132="2",H132,0)</f>
        <v>0</v>
      </c>
      <c r="X132" s="11">
        <f>IF(AG132="0",I132,0)</f>
        <v>0</v>
      </c>
      <c r="Y132" s="6"/>
      <c r="Z132" s="4">
        <f>IF(AD132=0,I132,0)</f>
        <v>0</v>
      </c>
      <c r="AA132" s="4">
        <f>IF(AD132=15,I132,0)</f>
        <v>0</v>
      </c>
      <c r="AB132" s="4">
        <f>IF(AD132=21,I132,0)</f>
        <v>0</v>
      </c>
      <c r="AD132" s="11">
        <v>21</v>
      </c>
      <c r="AE132" s="11">
        <f>F132*0</f>
        <v>0</v>
      </c>
      <c r="AF132" s="11">
        <f>F132*(1-0)</f>
        <v>0</v>
      </c>
      <c r="AG132" s="7" t="s">
        <v>498</v>
      </c>
      <c r="AM132" s="11">
        <f>E132*AE132</f>
        <v>0</v>
      </c>
      <c r="AN132" s="11">
        <f>E132*AF132</f>
        <v>0</v>
      </c>
      <c r="AO132" s="12" t="s">
        <v>185</v>
      </c>
      <c r="AP132" s="12" t="s">
        <v>223</v>
      </c>
      <c r="AQ132" s="6" t="s">
        <v>234</v>
      </c>
      <c r="AS132" s="11">
        <f>AM132+AN132</f>
        <v>0</v>
      </c>
      <c r="AT132" s="11">
        <f>F132/(100-AU132)*100</f>
        <v>0</v>
      </c>
      <c r="AU132" s="11">
        <v>0</v>
      </c>
      <c r="AV132" s="11">
        <f>K132</f>
        <v>0</v>
      </c>
    </row>
    <row r="133" spans="1:14" ht="12.75">
      <c r="A133" s="39"/>
      <c r="B133" s="39"/>
      <c r="C133" s="63" t="s">
        <v>1376</v>
      </c>
      <c r="D133" s="39"/>
      <c r="E133" s="64">
        <v>12.334</v>
      </c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48" ht="12.75">
      <c r="A134" s="59" t="s">
        <v>549</v>
      </c>
      <c r="B134" s="59" t="s">
        <v>922</v>
      </c>
      <c r="C134" s="59" t="s">
        <v>1377</v>
      </c>
      <c r="D134" s="59" t="s">
        <v>143</v>
      </c>
      <c r="E134" s="60">
        <v>0.255</v>
      </c>
      <c r="F134" s="61"/>
      <c r="G134" s="61">
        <f>E134*AE134</f>
        <v>0</v>
      </c>
      <c r="H134" s="61">
        <f>I134-G134</f>
        <v>0</v>
      </c>
      <c r="I134" s="61">
        <f>E134*F134</f>
        <v>0</v>
      </c>
      <c r="J134" s="61">
        <v>1.01665</v>
      </c>
      <c r="K134" s="61">
        <f>E134*J134</f>
        <v>0.25924575</v>
      </c>
      <c r="L134" s="62" t="s">
        <v>170</v>
      </c>
      <c r="M134" s="39"/>
      <c r="N134" s="39"/>
      <c r="P134" s="11">
        <f>IF(AG134="5",I134,0)</f>
        <v>0</v>
      </c>
      <c r="R134" s="11">
        <f>IF(AG134="1",G134,0)</f>
        <v>0</v>
      </c>
      <c r="S134" s="11">
        <f>IF(AG134="1",H134,0)</f>
        <v>0</v>
      </c>
      <c r="T134" s="11">
        <f>IF(AG134="7",G134,0)</f>
        <v>0</v>
      </c>
      <c r="U134" s="11">
        <f>IF(AG134="7",H134,0)</f>
        <v>0</v>
      </c>
      <c r="V134" s="11">
        <f>IF(AG134="2",G134,0)</f>
        <v>0</v>
      </c>
      <c r="W134" s="11">
        <f>IF(AG134="2",H134,0)</f>
        <v>0</v>
      </c>
      <c r="X134" s="11">
        <f>IF(AG134="0",I134,0)</f>
        <v>0</v>
      </c>
      <c r="Y134" s="6"/>
      <c r="Z134" s="4">
        <f>IF(AD134=0,I134,0)</f>
        <v>0</v>
      </c>
      <c r="AA134" s="4">
        <f>IF(AD134=15,I134,0)</f>
        <v>0</v>
      </c>
      <c r="AB134" s="4">
        <f>IF(AD134=21,I134,0)</f>
        <v>0</v>
      </c>
      <c r="AD134" s="11">
        <v>21</v>
      </c>
      <c r="AE134" s="11">
        <f>F134*0.6683097991479</f>
        <v>0</v>
      </c>
      <c r="AF134" s="11">
        <f>F134*(1-0.6683097991479)</f>
        <v>0</v>
      </c>
      <c r="AG134" s="7" t="s">
        <v>498</v>
      </c>
      <c r="AM134" s="11">
        <f>E134*AE134</f>
        <v>0</v>
      </c>
      <c r="AN134" s="11">
        <f>E134*AF134</f>
        <v>0</v>
      </c>
      <c r="AO134" s="12" t="s">
        <v>185</v>
      </c>
      <c r="AP134" s="12" t="s">
        <v>223</v>
      </c>
      <c r="AQ134" s="6" t="s">
        <v>234</v>
      </c>
      <c r="AS134" s="11">
        <f>AM134+AN134</f>
        <v>0</v>
      </c>
      <c r="AT134" s="11">
        <f>F134/(100-AU134)*100</f>
        <v>0</v>
      </c>
      <c r="AU134" s="11">
        <v>0</v>
      </c>
      <c r="AV134" s="11">
        <f>K134</f>
        <v>0.25924575</v>
      </c>
    </row>
    <row r="135" spans="1:14" ht="12.75">
      <c r="A135" s="39"/>
      <c r="B135" s="39"/>
      <c r="C135" s="63" t="s">
        <v>1378</v>
      </c>
      <c r="D135" s="39"/>
      <c r="E135" s="64">
        <v>0.255</v>
      </c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48" ht="12.75">
      <c r="A136" s="59" t="s">
        <v>550</v>
      </c>
      <c r="B136" s="59" t="s">
        <v>923</v>
      </c>
      <c r="C136" s="59" t="s">
        <v>1379</v>
      </c>
      <c r="D136" s="59" t="s">
        <v>146</v>
      </c>
      <c r="E136" s="60">
        <v>1.26</v>
      </c>
      <c r="F136" s="61"/>
      <c r="G136" s="61">
        <f>E136*AE136</f>
        <v>0</v>
      </c>
      <c r="H136" s="61">
        <f>I136-G136</f>
        <v>0</v>
      </c>
      <c r="I136" s="61">
        <f>E136*F136</f>
        <v>0</v>
      </c>
      <c r="J136" s="61">
        <v>0.00048</v>
      </c>
      <c r="K136" s="61">
        <f>E136*J136</f>
        <v>0.0006048000000000001</v>
      </c>
      <c r="L136" s="62" t="s">
        <v>170</v>
      </c>
      <c r="M136" s="39"/>
      <c r="N136" s="39"/>
      <c r="P136" s="11">
        <f>IF(AG136="5",I136,0)</f>
        <v>0</v>
      </c>
      <c r="R136" s="11">
        <f>IF(AG136="1",G136,0)</f>
        <v>0</v>
      </c>
      <c r="S136" s="11">
        <f>IF(AG136="1",H136,0)</f>
        <v>0</v>
      </c>
      <c r="T136" s="11">
        <f>IF(AG136="7",G136,0)</f>
        <v>0</v>
      </c>
      <c r="U136" s="11">
        <f>IF(AG136="7",H136,0)</f>
        <v>0</v>
      </c>
      <c r="V136" s="11">
        <f>IF(AG136="2",G136,0)</f>
        <v>0</v>
      </c>
      <c r="W136" s="11">
        <f>IF(AG136="2",H136,0)</f>
        <v>0</v>
      </c>
      <c r="X136" s="11">
        <f>IF(AG136="0",I136,0)</f>
        <v>0</v>
      </c>
      <c r="Y136" s="6"/>
      <c r="Z136" s="4">
        <f>IF(AD136=0,I136,0)</f>
        <v>0</v>
      </c>
      <c r="AA136" s="4">
        <f>IF(AD136=15,I136,0)</f>
        <v>0</v>
      </c>
      <c r="AB136" s="4">
        <f>IF(AD136=21,I136,0)</f>
        <v>0</v>
      </c>
      <c r="AD136" s="11">
        <v>21</v>
      </c>
      <c r="AE136" s="11">
        <f>F136*0.120547355326428</f>
        <v>0</v>
      </c>
      <c r="AF136" s="11">
        <f>F136*(1-0.120547355326428)</f>
        <v>0</v>
      </c>
      <c r="AG136" s="7" t="s">
        <v>498</v>
      </c>
      <c r="AM136" s="11">
        <f>E136*AE136</f>
        <v>0</v>
      </c>
      <c r="AN136" s="11">
        <f>E136*AF136</f>
        <v>0</v>
      </c>
      <c r="AO136" s="12" t="s">
        <v>185</v>
      </c>
      <c r="AP136" s="12" t="s">
        <v>223</v>
      </c>
      <c r="AQ136" s="6" t="s">
        <v>234</v>
      </c>
      <c r="AS136" s="11">
        <f>AM136+AN136</f>
        <v>0</v>
      </c>
      <c r="AT136" s="11">
        <f>F136/(100-AU136)*100</f>
        <v>0</v>
      </c>
      <c r="AU136" s="11">
        <v>0</v>
      </c>
      <c r="AV136" s="11">
        <f>K136</f>
        <v>0.0006048000000000001</v>
      </c>
    </row>
    <row r="137" spans="1:14" ht="12.75">
      <c r="A137" s="39"/>
      <c r="B137" s="39"/>
      <c r="C137" s="63" t="s">
        <v>1380</v>
      </c>
      <c r="D137" s="39"/>
      <c r="E137" s="64">
        <v>1.26</v>
      </c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1:48" ht="12.75">
      <c r="A138" s="59" t="s">
        <v>551</v>
      </c>
      <c r="B138" s="59" t="s">
        <v>924</v>
      </c>
      <c r="C138" s="59" t="s">
        <v>1381</v>
      </c>
      <c r="D138" s="59" t="s">
        <v>144</v>
      </c>
      <c r="E138" s="60">
        <v>17</v>
      </c>
      <c r="F138" s="61"/>
      <c r="G138" s="61">
        <f>E138*AE138</f>
        <v>0</v>
      </c>
      <c r="H138" s="61">
        <f>I138-G138</f>
        <v>0</v>
      </c>
      <c r="I138" s="61">
        <f>E138*F138</f>
        <v>0</v>
      </c>
      <c r="J138" s="61">
        <v>0.058</v>
      </c>
      <c r="K138" s="61">
        <f>E138*J138</f>
        <v>0.9860000000000001</v>
      </c>
      <c r="L138" s="62" t="s">
        <v>170</v>
      </c>
      <c r="M138" s="39"/>
      <c r="N138" s="39"/>
      <c r="P138" s="11">
        <f>IF(AG138="5",I138,0)</f>
        <v>0</v>
      </c>
      <c r="R138" s="11">
        <f>IF(AG138="1",G138,0)</f>
        <v>0</v>
      </c>
      <c r="S138" s="11">
        <f>IF(AG138="1",H138,0)</f>
        <v>0</v>
      </c>
      <c r="T138" s="11">
        <f>IF(AG138="7",G138,0)</f>
        <v>0</v>
      </c>
      <c r="U138" s="11">
        <f>IF(AG138="7",H138,0)</f>
        <v>0</v>
      </c>
      <c r="V138" s="11">
        <f>IF(AG138="2",G138,0)</f>
        <v>0</v>
      </c>
      <c r="W138" s="11">
        <f>IF(AG138="2",H138,0)</f>
        <v>0</v>
      </c>
      <c r="X138" s="11">
        <f>IF(AG138="0",I138,0)</f>
        <v>0</v>
      </c>
      <c r="Y138" s="6"/>
      <c r="Z138" s="4">
        <f>IF(AD138=0,I138,0)</f>
        <v>0</v>
      </c>
      <c r="AA138" s="4">
        <f>IF(AD138=15,I138,0)</f>
        <v>0</v>
      </c>
      <c r="AB138" s="4">
        <f>IF(AD138=21,I138,0)</f>
        <v>0</v>
      </c>
      <c r="AD138" s="11">
        <v>21</v>
      </c>
      <c r="AE138" s="11">
        <f>F138*0.526991800559268</f>
        <v>0</v>
      </c>
      <c r="AF138" s="11">
        <f>F138*(1-0.526991800559268)</f>
        <v>0</v>
      </c>
      <c r="AG138" s="7" t="s">
        <v>498</v>
      </c>
      <c r="AM138" s="11">
        <f>E138*AE138</f>
        <v>0</v>
      </c>
      <c r="AN138" s="11">
        <f>E138*AF138</f>
        <v>0</v>
      </c>
      <c r="AO138" s="12" t="s">
        <v>185</v>
      </c>
      <c r="AP138" s="12" t="s">
        <v>223</v>
      </c>
      <c r="AQ138" s="6" t="s">
        <v>234</v>
      </c>
      <c r="AS138" s="11">
        <f>AM138+AN138</f>
        <v>0</v>
      </c>
      <c r="AT138" s="11">
        <f>F138/(100-AU138)*100</f>
        <v>0</v>
      </c>
      <c r="AU138" s="11">
        <v>0</v>
      </c>
      <c r="AV138" s="11">
        <f>K138</f>
        <v>0.9860000000000001</v>
      </c>
    </row>
    <row r="139" spans="1:14" ht="12.75">
      <c r="A139" s="39"/>
      <c r="B139" s="39"/>
      <c r="C139" s="63" t="s">
        <v>514</v>
      </c>
      <c r="D139" s="39"/>
      <c r="E139" s="64">
        <v>17</v>
      </c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1:37" ht="12.75">
      <c r="A140" s="66"/>
      <c r="B140" s="67" t="s">
        <v>540</v>
      </c>
      <c r="C140" s="305" t="s">
        <v>1382</v>
      </c>
      <c r="D140" s="306"/>
      <c r="E140" s="306"/>
      <c r="F140" s="306"/>
      <c r="G140" s="68">
        <f>SUM(G141:G141)</f>
        <v>0</v>
      </c>
      <c r="H140" s="68">
        <f>SUM(H141:H141)</f>
        <v>0</v>
      </c>
      <c r="I140" s="68">
        <f>G140+H140</f>
        <v>0</v>
      </c>
      <c r="J140" s="69"/>
      <c r="K140" s="68">
        <f>SUM(K141:K141)</f>
        <v>0.6981999999999999</v>
      </c>
      <c r="L140" s="69"/>
      <c r="M140" s="39"/>
      <c r="N140" s="39"/>
      <c r="Y140" s="6"/>
      <c r="AI140" s="13">
        <f>SUM(Z141:Z141)</f>
        <v>0</v>
      </c>
      <c r="AJ140" s="13">
        <f>SUM(AA141:AA141)</f>
        <v>0</v>
      </c>
      <c r="AK140" s="13">
        <f>SUM(AB141:AB141)</f>
        <v>0</v>
      </c>
    </row>
    <row r="141" spans="1:48" ht="12.75">
      <c r="A141" s="59" t="s">
        <v>552</v>
      </c>
      <c r="B141" s="59" t="s">
        <v>925</v>
      </c>
      <c r="C141" s="59" t="s">
        <v>1383</v>
      </c>
      <c r="D141" s="59" t="s">
        <v>147</v>
      </c>
      <c r="E141" s="60">
        <v>5</v>
      </c>
      <c r="F141" s="61"/>
      <c r="G141" s="61">
        <f>E141*AE141</f>
        <v>0</v>
      </c>
      <c r="H141" s="61">
        <f>I141-G141</f>
        <v>0</v>
      </c>
      <c r="I141" s="61">
        <f>E141*F141</f>
        <v>0</v>
      </c>
      <c r="J141" s="61">
        <v>0.13964</v>
      </c>
      <c r="K141" s="61">
        <f>E141*J141</f>
        <v>0.6981999999999999</v>
      </c>
      <c r="L141" s="62" t="s">
        <v>170</v>
      </c>
      <c r="M141" s="39"/>
      <c r="N141" s="39"/>
      <c r="P141" s="11">
        <f>IF(AG141="5",I141,0)</f>
        <v>0</v>
      </c>
      <c r="R141" s="11">
        <f>IF(AG141="1",G141,0)</f>
        <v>0</v>
      </c>
      <c r="S141" s="11">
        <f>IF(AG141="1",H141,0)</f>
        <v>0</v>
      </c>
      <c r="T141" s="11">
        <f>IF(AG141="7",G141,0)</f>
        <v>0</v>
      </c>
      <c r="U141" s="11">
        <f>IF(AG141="7",H141,0)</f>
        <v>0</v>
      </c>
      <c r="V141" s="11">
        <f>IF(AG141="2",G141,0)</f>
        <v>0</v>
      </c>
      <c r="W141" s="11">
        <f>IF(AG141="2",H141,0)</f>
        <v>0</v>
      </c>
      <c r="X141" s="11">
        <f>IF(AG141="0",I141,0)</f>
        <v>0</v>
      </c>
      <c r="Y141" s="6"/>
      <c r="Z141" s="4">
        <f>IF(AD141=0,I141,0)</f>
        <v>0</v>
      </c>
      <c r="AA141" s="4">
        <f>IF(AD141=15,I141,0)</f>
        <v>0</v>
      </c>
      <c r="AB141" s="4">
        <f>IF(AD141=21,I141,0)</f>
        <v>0</v>
      </c>
      <c r="AD141" s="11">
        <v>21</v>
      </c>
      <c r="AE141" s="11">
        <f>F141*0.751521277873414</f>
        <v>0</v>
      </c>
      <c r="AF141" s="11">
        <f>F141*(1-0.751521277873414)</f>
        <v>0</v>
      </c>
      <c r="AG141" s="7" t="s">
        <v>498</v>
      </c>
      <c r="AM141" s="11">
        <f>E141*AE141</f>
        <v>0</v>
      </c>
      <c r="AN141" s="11">
        <f>E141*AF141</f>
        <v>0</v>
      </c>
      <c r="AO141" s="12" t="s">
        <v>186</v>
      </c>
      <c r="AP141" s="12" t="s">
        <v>223</v>
      </c>
      <c r="AQ141" s="6" t="s">
        <v>234</v>
      </c>
      <c r="AS141" s="11">
        <f>AM141+AN141</f>
        <v>0</v>
      </c>
      <c r="AT141" s="11">
        <f>F141/(100-AU141)*100</f>
        <v>0</v>
      </c>
      <c r="AU141" s="11">
        <v>0</v>
      </c>
      <c r="AV141" s="11">
        <f>K141</f>
        <v>0.6981999999999999</v>
      </c>
    </row>
    <row r="142" spans="1:14" ht="12.75">
      <c r="A142" s="39"/>
      <c r="B142" s="39"/>
      <c r="C142" s="63" t="s">
        <v>1384</v>
      </c>
      <c r="D142" s="39"/>
      <c r="E142" s="64">
        <v>5</v>
      </c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1:37" ht="12.75">
      <c r="A143" s="66"/>
      <c r="B143" s="67" t="s">
        <v>553</v>
      </c>
      <c r="C143" s="305" t="s">
        <v>1385</v>
      </c>
      <c r="D143" s="306"/>
      <c r="E143" s="306"/>
      <c r="F143" s="306"/>
      <c r="G143" s="68">
        <f>SUM(G144:G146)</f>
        <v>0</v>
      </c>
      <c r="H143" s="68">
        <f>SUM(H144:H146)</f>
        <v>0</v>
      </c>
      <c r="I143" s="68">
        <f>G143+H143</f>
        <v>0</v>
      </c>
      <c r="J143" s="69"/>
      <c r="K143" s="68">
        <f>SUM(K144:K146)</f>
        <v>6.16376355</v>
      </c>
      <c r="L143" s="69"/>
      <c r="M143" s="39"/>
      <c r="N143" s="39"/>
      <c r="Y143" s="6"/>
      <c r="AI143" s="13">
        <f>SUM(Z144:Z146)</f>
        <v>0</v>
      </c>
      <c r="AJ143" s="13">
        <f>SUM(AA144:AA146)</f>
        <v>0</v>
      </c>
      <c r="AK143" s="13">
        <f>SUM(AB144:AB146)</f>
        <v>0</v>
      </c>
    </row>
    <row r="144" spans="1:48" ht="12.75">
      <c r="A144" s="59" t="s">
        <v>553</v>
      </c>
      <c r="B144" s="59" t="s">
        <v>926</v>
      </c>
      <c r="C144" s="59" t="s">
        <v>1386</v>
      </c>
      <c r="D144" s="59" t="s">
        <v>142</v>
      </c>
      <c r="E144" s="60">
        <v>10.725</v>
      </c>
      <c r="F144" s="61"/>
      <c r="G144" s="61">
        <f>E144*AE144</f>
        <v>0</v>
      </c>
      <c r="H144" s="61">
        <f>I144-G144</f>
        <v>0</v>
      </c>
      <c r="I144" s="61">
        <f>E144*F144</f>
        <v>0</v>
      </c>
      <c r="J144" s="61">
        <v>0.33075</v>
      </c>
      <c r="K144" s="61">
        <f>E144*J144</f>
        <v>3.5472937499999997</v>
      </c>
      <c r="L144" s="62" t="s">
        <v>170</v>
      </c>
      <c r="M144" s="39"/>
      <c r="N144" s="39"/>
      <c r="P144" s="11">
        <f>IF(AG144="5",I144,0)</f>
        <v>0</v>
      </c>
      <c r="R144" s="11">
        <f>IF(AG144="1",G144,0)</f>
        <v>0</v>
      </c>
      <c r="S144" s="11">
        <f>IF(AG144="1",H144,0)</f>
        <v>0</v>
      </c>
      <c r="T144" s="11">
        <f>IF(AG144="7",G144,0)</f>
        <v>0</v>
      </c>
      <c r="U144" s="11">
        <f>IF(AG144="7",H144,0)</f>
        <v>0</v>
      </c>
      <c r="V144" s="11">
        <f>IF(AG144="2",G144,0)</f>
        <v>0</v>
      </c>
      <c r="W144" s="11">
        <f>IF(AG144="2",H144,0)</f>
        <v>0</v>
      </c>
      <c r="X144" s="11">
        <f>IF(AG144="0",I144,0)</f>
        <v>0</v>
      </c>
      <c r="Y144" s="6"/>
      <c r="Z144" s="4">
        <f>IF(AD144=0,I144,0)</f>
        <v>0</v>
      </c>
      <c r="AA144" s="4">
        <f>IF(AD144=15,I144,0)</f>
        <v>0</v>
      </c>
      <c r="AB144" s="4">
        <f>IF(AD144=21,I144,0)</f>
        <v>0</v>
      </c>
      <c r="AD144" s="11">
        <v>21</v>
      </c>
      <c r="AE144" s="11">
        <f>F144*0.854059869628505</f>
        <v>0</v>
      </c>
      <c r="AF144" s="11">
        <f>F144*(1-0.854059869628505)</f>
        <v>0</v>
      </c>
      <c r="AG144" s="7" t="s">
        <v>498</v>
      </c>
      <c r="AM144" s="11">
        <f>E144*AE144</f>
        <v>0</v>
      </c>
      <c r="AN144" s="11">
        <f>E144*AF144</f>
        <v>0</v>
      </c>
      <c r="AO144" s="12" t="s">
        <v>187</v>
      </c>
      <c r="AP144" s="12" t="s">
        <v>224</v>
      </c>
      <c r="AQ144" s="6" t="s">
        <v>234</v>
      </c>
      <c r="AS144" s="11">
        <f>AM144+AN144</f>
        <v>0</v>
      </c>
      <c r="AT144" s="11">
        <f>F144/(100-AU144)*100</f>
        <v>0</v>
      </c>
      <c r="AU144" s="11">
        <v>0</v>
      </c>
      <c r="AV144" s="11">
        <f>K144</f>
        <v>3.5472937499999997</v>
      </c>
    </row>
    <row r="145" spans="1:14" ht="12.75">
      <c r="A145" s="39"/>
      <c r="B145" s="39"/>
      <c r="C145" s="63" t="s">
        <v>1387</v>
      </c>
      <c r="D145" s="39"/>
      <c r="E145" s="64">
        <v>10.725</v>
      </c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48" ht="12.75">
      <c r="A146" s="59" t="s">
        <v>554</v>
      </c>
      <c r="B146" s="59" t="s">
        <v>927</v>
      </c>
      <c r="C146" s="59" t="s">
        <v>1388</v>
      </c>
      <c r="D146" s="59" t="s">
        <v>142</v>
      </c>
      <c r="E146" s="60">
        <v>6.258</v>
      </c>
      <c r="F146" s="61"/>
      <c r="G146" s="61">
        <f>E146*AE146</f>
        <v>0</v>
      </c>
      <c r="H146" s="61">
        <f>I146-G146</f>
        <v>0</v>
      </c>
      <c r="I146" s="61">
        <f>E146*F146</f>
        <v>0</v>
      </c>
      <c r="J146" s="61">
        <v>0.4181</v>
      </c>
      <c r="K146" s="61">
        <f>E146*J146</f>
        <v>2.6164698</v>
      </c>
      <c r="L146" s="62" t="s">
        <v>170</v>
      </c>
      <c r="M146" s="39"/>
      <c r="N146" s="39"/>
      <c r="P146" s="11">
        <f>IF(AG146="5",I146,0)</f>
        <v>0</v>
      </c>
      <c r="R146" s="11">
        <f>IF(AG146="1",G146,0)</f>
        <v>0</v>
      </c>
      <c r="S146" s="11">
        <f>IF(AG146="1",H146,0)</f>
        <v>0</v>
      </c>
      <c r="T146" s="11">
        <f>IF(AG146="7",G146,0)</f>
        <v>0</v>
      </c>
      <c r="U146" s="11">
        <f>IF(AG146="7",H146,0)</f>
        <v>0</v>
      </c>
      <c r="V146" s="11">
        <f>IF(AG146="2",G146,0)</f>
        <v>0</v>
      </c>
      <c r="W146" s="11">
        <f>IF(AG146="2",H146,0)</f>
        <v>0</v>
      </c>
      <c r="X146" s="11">
        <f>IF(AG146="0",I146,0)</f>
        <v>0</v>
      </c>
      <c r="Y146" s="6"/>
      <c r="Z146" s="4">
        <f>IF(AD146=0,I146,0)</f>
        <v>0</v>
      </c>
      <c r="AA146" s="4">
        <f>IF(AD146=15,I146,0)</f>
        <v>0</v>
      </c>
      <c r="AB146" s="4">
        <f>IF(AD146=21,I146,0)</f>
        <v>0</v>
      </c>
      <c r="AD146" s="11">
        <v>21</v>
      </c>
      <c r="AE146" s="11">
        <f>F146*0.843063829787234</f>
        <v>0</v>
      </c>
      <c r="AF146" s="11">
        <f>F146*(1-0.843063829787234)</f>
        <v>0</v>
      </c>
      <c r="AG146" s="7" t="s">
        <v>498</v>
      </c>
      <c r="AM146" s="11">
        <f>E146*AE146</f>
        <v>0</v>
      </c>
      <c r="AN146" s="11">
        <f>E146*AF146</f>
        <v>0</v>
      </c>
      <c r="AO146" s="12" t="s">
        <v>187</v>
      </c>
      <c r="AP146" s="12" t="s">
        <v>224</v>
      </c>
      <c r="AQ146" s="6" t="s">
        <v>234</v>
      </c>
      <c r="AS146" s="11">
        <f>AM146+AN146</f>
        <v>0</v>
      </c>
      <c r="AT146" s="11">
        <f>F146/(100-AU146)*100</f>
        <v>0</v>
      </c>
      <c r="AU146" s="11">
        <v>0</v>
      </c>
      <c r="AV146" s="11">
        <f>K146</f>
        <v>2.6164698</v>
      </c>
    </row>
    <row r="147" spans="1:14" ht="12.75">
      <c r="A147" s="39"/>
      <c r="B147" s="39"/>
      <c r="C147" s="63" t="s">
        <v>1284</v>
      </c>
      <c r="D147" s="39"/>
      <c r="E147" s="64">
        <v>6.258</v>
      </c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37" ht="12.75">
      <c r="A148" s="66"/>
      <c r="B148" s="67" t="s">
        <v>554</v>
      </c>
      <c r="C148" s="305" t="s">
        <v>1389</v>
      </c>
      <c r="D148" s="306"/>
      <c r="E148" s="306"/>
      <c r="F148" s="306"/>
      <c r="G148" s="68">
        <f>SUM(G149:G149)</f>
        <v>0</v>
      </c>
      <c r="H148" s="68">
        <f>SUM(H149:H149)</f>
        <v>0</v>
      </c>
      <c r="I148" s="68">
        <f>G148+H148</f>
        <v>0</v>
      </c>
      <c r="J148" s="69"/>
      <c r="K148" s="68">
        <f>SUM(K149:K149)</f>
        <v>2.7568414999999997</v>
      </c>
      <c r="L148" s="69"/>
      <c r="M148" s="39"/>
      <c r="N148" s="39"/>
      <c r="Y148" s="6"/>
      <c r="AI148" s="13">
        <f>SUM(Z149:Z149)</f>
        <v>0</v>
      </c>
      <c r="AJ148" s="13">
        <f>SUM(AA149:AA149)</f>
        <v>0</v>
      </c>
      <c r="AK148" s="13">
        <f>SUM(AB149:AB149)</f>
        <v>0</v>
      </c>
    </row>
    <row r="149" spans="1:48" ht="12.75">
      <c r="A149" s="59" t="s">
        <v>555</v>
      </c>
      <c r="B149" s="59" t="s">
        <v>928</v>
      </c>
      <c r="C149" s="59" t="s">
        <v>1390</v>
      </c>
      <c r="D149" s="59" t="s">
        <v>142</v>
      </c>
      <c r="E149" s="60">
        <v>7.85</v>
      </c>
      <c r="F149" s="61"/>
      <c r="G149" s="61">
        <f>E149*AE149</f>
        <v>0</v>
      </c>
      <c r="H149" s="61">
        <f>I149-G149</f>
        <v>0</v>
      </c>
      <c r="I149" s="61">
        <f>E149*F149</f>
        <v>0</v>
      </c>
      <c r="J149" s="61">
        <v>0.35119</v>
      </c>
      <c r="K149" s="61">
        <f>E149*J149</f>
        <v>2.7568414999999997</v>
      </c>
      <c r="L149" s="62" t="s">
        <v>170</v>
      </c>
      <c r="M149" s="39"/>
      <c r="N149" s="39"/>
      <c r="P149" s="11">
        <f>IF(AG149="5",I149,0)</f>
        <v>0</v>
      </c>
      <c r="R149" s="11">
        <f>IF(AG149="1",G149,0)</f>
        <v>0</v>
      </c>
      <c r="S149" s="11">
        <f>IF(AG149="1",H149,0)</f>
        <v>0</v>
      </c>
      <c r="T149" s="11">
        <f>IF(AG149="7",G149,0)</f>
        <v>0</v>
      </c>
      <c r="U149" s="11">
        <f>IF(AG149="7",H149,0)</f>
        <v>0</v>
      </c>
      <c r="V149" s="11">
        <f>IF(AG149="2",G149,0)</f>
        <v>0</v>
      </c>
      <c r="W149" s="11">
        <f>IF(AG149="2",H149,0)</f>
        <v>0</v>
      </c>
      <c r="X149" s="11">
        <f>IF(AG149="0",I149,0)</f>
        <v>0</v>
      </c>
      <c r="Y149" s="6"/>
      <c r="Z149" s="4">
        <f>IF(AD149=0,I149,0)</f>
        <v>0</v>
      </c>
      <c r="AA149" s="4">
        <f>IF(AD149=15,I149,0)</f>
        <v>0</v>
      </c>
      <c r="AB149" s="4">
        <f>IF(AD149=21,I149,0)</f>
        <v>0</v>
      </c>
      <c r="AD149" s="11">
        <v>21</v>
      </c>
      <c r="AE149" s="11">
        <f>F149*0.567209302325581</f>
        <v>0</v>
      </c>
      <c r="AF149" s="11">
        <f>F149*(1-0.567209302325581)</f>
        <v>0</v>
      </c>
      <c r="AG149" s="7" t="s">
        <v>498</v>
      </c>
      <c r="AM149" s="11">
        <f>E149*AE149</f>
        <v>0</v>
      </c>
      <c r="AN149" s="11">
        <f>E149*AF149</f>
        <v>0</v>
      </c>
      <c r="AO149" s="12" t="s">
        <v>188</v>
      </c>
      <c r="AP149" s="12" t="s">
        <v>224</v>
      </c>
      <c r="AQ149" s="6" t="s">
        <v>234</v>
      </c>
      <c r="AS149" s="11">
        <f>AM149+AN149</f>
        <v>0</v>
      </c>
      <c r="AT149" s="11">
        <f>F149/(100-AU149)*100</f>
        <v>0</v>
      </c>
      <c r="AU149" s="11">
        <v>0</v>
      </c>
      <c r="AV149" s="11">
        <f>K149</f>
        <v>2.7568414999999997</v>
      </c>
    </row>
    <row r="150" spans="1:14" ht="12.75">
      <c r="A150" s="39"/>
      <c r="B150" s="39"/>
      <c r="C150" s="63" t="s">
        <v>1391</v>
      </c>
      <c r="D150" s="39"/>
      <c r="E150" s="64">
        <v>7.85</v>
      </c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2.75">
      <c r="A151" s="39"/>
      <c r="B151" s="65" t="s">
        <v>872</v>
      </c>
      <c r="C151" s="303" t="s">
        <v>1392</v>
      </c>
      <c r="D151" s="304"/>
      <c r="E151" s="304"/>
      <c r="F151" s="304"/>
      <c r="G151" s="304"/>
      <c r="H151" s="304"/>
      <c r="I151" s="304"/>
      <c r="J151" s="304"/>
      <c r="K151" s="304"/>
      <c r="L151" s="304"/>
      <c r="M151" s="39"/>
      <c r="N151" s="39"/>
    </row>
    <row r="152" spans="1:37" ht="12.75">
      <c r="A152" s="66"/>
      <c r="B152" s="67" t="s">
        <v>556</v>
      </c>
      <c r="C152" s="305" t="s">
        <v>1393</v>
      </c>
      <c r="D152" s="306"/>
      <c r="E152" s="306"/>
      <c r="F152" s="306"/>
      <c r="G152" s="68">
        <f>SUM(G153:G153)</f>
        <v>0</v>
      </c>
      <c r="H152" s="68">
        <f>SUM(H153:H153)</f>
        <v>0</v>
      </c>
      <c r="I152" s="68">
        <f>G152+H152</f>
        <v>0</v>
      </c>
      <c r="J152" s="69"/>
      <c r="K152" s="68">
        <f>SUM(K153:K153)</f>
        <v>2.202057</v>
      </c>
      <c r="L152" s="69"/>
      <c r="M152" s="39"/>
      <c r="N152" s="39"/>
      <c r="Y152" s="6"/>
      <c r="AI152" s="13">
        <f>SUM(Z153:Z153)</f>
        <v>0</v>
      </c>
      <c r="AJ152" s="13">
        <f>SUM(AA153:AA153)</f>
        <v>0</v>
      </c>
      <c r="AK152" s="13">
        <f>SUM(AB153:AB153)</f>
        <v>0</v>
      </c>
    </row>
    <row r="153" spans="1:48" ht="12.75">
      <c r="A153" s="59" t="s">
        <v>556</v>
      </c>
      <c r="B153" s="59" t="s">
        <v>929</v>
      </c>
      <c r="C153" s="59" t="s">
        <v>1394</v>
      </c>
      <c r="D153" s="59" t="s">
        <v>142</v>
      </c>
      <c r="E153" s="60">
        <v>10.725</v>
      </c>
      <c r="F153" s="61"/>
      <c r="G153" s="61">
        <f>E153*AE153</f>
        <v>0</v>
      </c>
      <c r="H153" s="61">
        <f>I153-G153</f>
        <v>0</v>
      </c>
      <c r="I153" s="61">
        <f>E153*F153</f>
        <v>0</v>
      </c>
      <c r="J153" s="61">
        <v>0.20532</v>
      </c>
      <c r="K153" s="61">
        <f>E153*J153</f>
        <v>2.202057</v>
      </c>
      <c r="L153" s="62" t="s">
        <v>170</v>
      </c>
      <c r="M153" s="39"/>
      <c r="N153" s="39"/>
      <c r="P153" s="11">
        <f>IF(AG153="5",I153,0)</f>
        <v>0</v>
      </c>
      <c r="R153" s="11">
        <f>IF(AG153="1",G153,0)</f>
        <v>0</v>
      </c>
      <c r="S153" s="11">
        <f>IF(AG153="1",H153,0)</f>
        <v>0</v>
      </c>
      <c r="T153" s="11">
        <f>IF(AG153="7",G153,0)</f>
        <v>0</v>
      </c>
      <c r="U153" s="11">
        <f>IF(AG153="7",H153,0)</f>
        <v>0</v>
      </c>
      <c r="V153" s="11">
        <f>IF(AG153="2",G153,0)</f>
        <v>0</v>
      </c>
      <c r="W153" s="11">
        <f>IF(AG153="2",H153,0)</f>
        <v>0</v>
      </c>
      <c r="X153" s="11">
        <f>IF(AG153="0",I153,0)</f>
        <v>0</v>
      </c>
      <c r="Y153" s="6"/>
      <c r="Z153" s="4">
        <f>IF(AD153=0,I153,0)</f>
        <v>0</v>
      </c>
      <c r="AA153" s="4">
        <f>IF(AD153=15,I153,0)</f>
        <v>0</v>
      </c>
      <c r="AB153" s="4">
        <f>IF(AD153=21,I153,0)</f>
        <v>0</v>
      </c>
      <c r="AD153" s="11">
        <v>21</v>
      </c>
      <c r="AE153" s="11">
        <f>F153*0.748467005076142</f>
        <v>0</v>
      </c>
      <c r="AF153" s="11">
        <f>F153*(1-0.748467005076142)</f>
        <v>0</v>
      </c>
      <c r="AG153" s="7" t="s">
        <v>498</v>
      </c>
      <c r="AM153" s="11">
        <f>E153*AE153</f>
        <v>0</v>
      </c>
      <c r="AN153" s="11">
        <f>E153*AF153</f>
        <v>0</v>
      </c>
      <c r="AO153" s="12" t="s">
        <v>189</v>
      </c>
      <c r="AP153" s="12" t="s">
        <v>224</v>
      </c>
      <c r="AQ153" s="6" t="s">
        <v>234</v>
      </c>
      <c r="AS153" s="11">
        <f>AM153+AN153</f>
        <v>0</v>
      </c>
      <c r="AT153" s="11">
        <f>F153/(100-AU153)*100</f>
        <v>0</v>
      </c>
      <c r="AU153" s="11">
        <v>0</v>
      </c>
      <c r="AV153" s="11">
        <f>K153</f>
        <v>2.202057</v>
      </c>
    </row>
    <row r="154" spans="1:14" ht="12.75">
      <c r="A154" s="39"/>
      <c r="B154" s="39"/>
      <c r="C154" s="63" t="s">
        <v>1387</v>
      </c>
      <c r="D154" s="39"/>
      <c r="E154" s="64">
        <v>10.725</v>
      </c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1:37" ht="12.75">
      <c r="A155" s="66"/>
      <c r="B155" s="67" t="s">
        <v>558</v>
      </c>
      <c r="C155" s="305" t="s">
        <v>1395</v>
      </c>
      <c r="D155" s="306"/>
      <c r="E155" s="306"/>
      <c r="F155" s="306"/>
      <c r="G155" s="68">
        <f>SUM(G156:G186)</f>
        <v>0</v>
      </c>
      <c r="H155" s="68">
        <f>SUM(H156:H186)</f>
        <v>0</v>
      </c>
      <c r="I155" s="68">
        <f>G155+H155</f>
        <v>0</v>
      </c>
      <c r="J155" s="69"/>
      <c r="K155" s="68">
        <f>SUM(K156:K186)</f>
        <v>34.494654700000005</v>
      </c>
      <c r="L155" s="69"/>
      <c r="M155" s="39"/>
      <c r="N155" s="39"/>
      <c r="Y155" s="6"/>
      <c r="AI155" s="13">
        <f>SUM(Z156:Z186)</f>
        <v>0</v>
      </c>
      <c r="AJ155" s="13">
        <f>SUM(AA156:AA186)</f>
        <v>0</v>
      </c>
      <c r="AK155" s="13">
        <f>SUM(AB156:AB186)</f>
        <v>0</v>
      </c>
    </row>
    <row r="156" spans="1:48" ht="12.75">
      <c r="A156" s="59" t="s">
        <v>557</v>
      </c>
      <c r="B156" s="59" t="s">
        <v>930</v>
      </c>
      <c r="C156" s="59" t="s">
        <v>1396</v>
      </c>
      <c r="D156" s="59" t="s">
        <v>142</v>
      </c>
      <c r="E156" s="60">
        <v>48.195</v>
      </c>
      <c r="F156" s="61"/>
      <c r="G156" s="61">
        <f>E156*AE156</f>
        <v>0</v>
      </c>
      <c r="H156" s="61">
        <f>I156-G156</f>
        <v>0</v>
      </c>
      <c r="I156" s="61">
        <f>E156*F156</f>
        <v>0</v>
      </c>
      <c r="J156" s="61">
        <v>4E-05</v>
      </c>
      <c r="K156" s="61">
        <f>E156*J156</f>
        <v>0.0019278000000000001</v>
      </c>
      <c r="L156" s="62" t="s">
        <v>170</v>
      </c>
      <c r="M156" s="39"/>
      <c r="N156" s="39"/>
      <c r="P156" s="11">
        <f>IF(AG156="5",I156,0)</f>
        <v>0</v>
      </c>
      <c r="R156" s="11">
        <f>IF(AG156="1",G156,0)</f>
        <v>0</v>
      </c>
      <c r="S156" s="11">
        <f>IF(AG156="1",H156,0)</f>
        <v>0</v>
      </c>
      <c r="T156" s="11">
        <f>IF(AG156="7",G156,0)</f>
        <v>0</v>
      </c>
      <c r="U156" s="11">
        <f>IF(AG156="7",H156,0)</f>
        <v>0</v>
      </c>
      <c r="V156" s="11">
        <f>IF(AG156="2",G156,0)</f>
        <v>0</v>
      </c>
      <c r="W156" s="11">
        <f>IF(AG156="2",H156,0)</f>
        <v>0</v>
      </c>
      <c r="X156" s="11">
        <f>IF(AG156="0",I156,0)</f>
        <v>0</v>
      </c>
      <c r="Y156" s="6"/>
      <c r="Z156" s="4">
        <f>IF(AD156=0,I156,0)</f>
        <v>0</v>
      </c>
      <c r="AA156" s="4">
        <f>IF(AD156=15,I156,0)</f>
        <v>0</v>
      </c>
      <c r="AB156" s="4">
        <f>IF(AD156=21,I156,0)</f>
        <v>0</v>
      </c>
      <c r="AD156" s="11">
        <v>21</v>
      </c>
      <c r="AE156" s="11">
        <f>F156*0.362200579099763</f>
        <v>0</v>
      </c>
      <c r="AF156" s="11">
        <f>F156*(1-0.362200579099763)</f>
        <v>0</v>
      </c>
      <c r="AG156" s="7" t="s">
        <v>498</v>
      </c>
      <c r="AM156" s="11">
        <f>E156*AE156</f>
        <v>0</v>
      </c>
      <c r="AN156" s="11">
        <f>E156*AF156</f>
        <v>0</v>
      </c>
      <c r="AO156" s="12" t="s">
        <v>190</v>
      </c>
      <c r="AP156" s="12" t="s">
        <v>225</v>
      </c>
      <c r="AQ156" s="6" t="s">
        <v>234</v>
      </c>
      <c r="AS156" s="11">
        <f>AM156+AN156</f>
        <v>0</v>
      </c>
      <c r="AT156" s="11">
        <f>F156/(100-AU156)*100</f>
        <v>0</v>
      </c>
      <c r="AU156" s="11">
        <v>0</v>
      </c>
      <c r="AV156" s="11">
        <f>K156</f>
        <v>0.0019278000000000001</v>
      </c>
    </row>
    <row r="157" spans="1:14" ht="12.75">
      <c r="A157" s="39"/>
      <c r="B157" s="39"/>
      <c r="C157" s="63" t="s">
        <v>1397</v>
      </c>
      <c r="D157" s="39"/>
      <c r="E157" s="64">
        <v>48.195</v>
      </c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1:48" ht="12.75">
      <c r="A158" s="59" t="s">
        <v>558</v>
      </c>
      <c r="B158" s="59" t="s">
        <v>931</v>
      </c>
      <c r="C158" s="59" t="s">
        <v>1398</v>
      </c>
      <c r="D158" s="59" t="s">
        <v>142</v>
      </c>
      <c r="E158" s="60">
        <v>332.282</v>
      </c>
      <c r="F158" s="61"/>
      <c r="G158" s="61">
        <f>E158*AE158</f>
        <v>0</v>
      </c>
      <c r="H158" s="61">
        <f>I158-G158</f>
        <v>0</v>
      </c>
      <c r="I158" s="61">
        <f>E158*F158</f>
        <v>0</v>
      </c>
      <c r="J158" s="61">
        <v>0.04806</v>
      </c>
      <c r="K158" s="61">
        <f>E158*J158</f>
        <v>15.96947292</v>
      </c>
      <c r="L158" s="62" t="s">
        <v>170</v>
      </c>
      <c r="M158" s="39"/>
      <c r="N158" s="39"/>
      <c r="P158" s="11">
        <f>IF(AG158="5",I158,0)</f>
        <v>0</v>
      </c>
      <c r="R158" s="11">
        <f>IF(AG158="1",G158,0)</f>
        <v>0</v>
      </c>
      <c r="S158" s="11">
        <f>IF(AG158="1",H158,0)</f>
        <v>0</v>
      </c>
      <c r="T158" s="11">
        <f>IF(AG158="7",G158,0)</f>
        <v>0</v>
      </c>
      <c r="U158" s="11">
        <f>IF(AG158="7",H158,0)</f>
        <v>0</v>
      </c>
      <c r="V158" s="11">
        <f>IF(AG158="2",G158,0)</f>
        <v>0</v>
      </c>
      <c r="W158" s="11">
        <f>IF(AG158="2",H158,0)</f>
        <v>0</v>
      </c>
      <c r="X158" s="11">
        <f>IF(AG158="0",I158,0)</f>
        <v>0</v>
      </c>
      <c r="Y158" s="6"/>
      <c r="Z158" s="4">
        <f>IF(AD158=0,I158,0)</f>
        <v>0</v>
      </c>
      <c r="AA158" s="4">
        <f>IF(AD158=15,I158,0)</f>
        <v>0</v>
      </c>
      <c r="AB158" s="4">
        <f>IF(AD158=21,I158,0)</f>
        <v>0</v>
      </c>
      <c r="AD158" s="11">
        <v>21</v>
      </c>
      <c r="AE158" s="11">
        <f>F158*0.16570452403393</f>
        <v>0</v>
      </c>
      <c r="AF158" s="11">
        <f>F158*(1-0.16570452403393)</f>
        <v>0</v>
      </c>
      <c r="AG158" s="7" t="s">
        <v>498</v>
      </c>
      <c r="AM158" s="11">
        <f>E158*AE158</f>
        <v>0</v>
      </c>
      <c r="AN158" s="11">
        <f>E158*AF158</f>
        <v>0</v>
      </c>
      <c r="AO158" s="12" t="s">
        <v>190</v>
      </c>
      <c r="AP158" s="12" t="s">
        <v>225</v>
      </c>
      <c r="AQ158" s="6" t="s">
        <v>234</v>
      </c>
      <c r="AS158" s="11">
        <f>AM158+AN158</f>
        <v>0</v>
      </c>
      <c r="AT158" s="11">
        <f>F158/(100-AU158)*100</f>
        <v>0</v>
      </c>
      <c r="AU158" s="11">
        <v>0</v>
      </c>
      <c r="AV158" s="11">
        <f>K158</f>
        <v>15.96947292</v>
      </c>
    </row>
    <row r="159" spans="1:14" ht="12.75">
      <c r="A159" s="39"/>
      <c r="B159" s="39"/>
      <c r="C159" s="63" t="s">
        <v>1399</v>
      </c>
      <c r="D159" s="39"/>
      <c r="E159" s="64">
        <v>191.178</v>
      </c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1:14" ht="12.75">
      <c r="A160" s="39"/>
      <c r="B160" s="39"/>
      <c r="C160" s="63" t="s">
        <v>1400</v>
      </c>
      <c r="D160" s="39"/>
      <c r="E160" s="64">
        <v>199.475</v>
      </c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1:14" ht="12.75">
      <c r="A161" s="39"/>
      <c r="B161" s="39"/>
      <c r="C161" s="63" t="s">
        <v>1401</v>
      </c>
      <c r="D161" s="39"/>
      <c r="E161" s="64">
        <v>4.831</v>
      </c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1:14" ht="12.75">
      <c r="A162" s="39"/>
      <c r="B162" s="39"/>
      <c r="C162" s="63" t="s">
        <v>1402</v>
      </c>
      <c r="D162" s="39"/>
      <c r="E162" s="64">
        <v>20.837</v>
      </c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1:14" ht="12.75">
      <c r="A163" s="39"/>
      <c r="B163" s="39"/>
      <c r="C163" s="63" t="s">
        <v>1403</v>
      </c>
      <c r="D163" s="39"/>
      <c r="E163" s="64">
        <v>-84.039</v>
      </c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1:48" ht="12.75">
      <c r="A164" s="59" t="s">
        <v>559</v>
      </c>
      <c r="B164" s="59" t="s">
        <v>932</v>
      </c>
      <c r="C164" s="59" t="s">
        <v>1404</v>
      </c>
      <c r="D164" s="59" t="s">
        <v>142</v>
      </c>
      <c r="E164" s="60">
        <v>84.039</v>
      </c>
      <c r="F164" s="61"/>
      <c r="G164" s="61">
        <f>E164*AE164</f>
        <v>0</v>
      </c>
      <c r="H164" s="61">
        <f>I164-G164</f>
        <v>0</v>
      </c>
      <c r="I164" s="61">
        <f>E164*F164</f>
        <v>0</v>
      </c>
      <c r="J164" s="61">
        <v>0.04454</v>
      </c>
      <c r="K164" s="61">
        <f>E164*J164</f>
        <v>3.74309706</v>
      </c>
      <c r="L164" s="62" t="s">
        <v>170</v>
      </c>
      <c r="M164" s="39"/>
      <c r="N164" s="39"/>
      <c r="P164" s="11">
        <f>IF(AG164="5",I164,0)</f>
        <v>0</v>
      </c>
      <c r="R164" s="11">
        <f>IF(AG164="1",G164,0)</f>
        <v>0</v>
      </c>
      <c r="S164" s="11">
        <f>IF(AG164="1",H164,0)</f>
        <v>0</v>
      </c>
      <c r="T164" s="11">
        <f>IF(AG164="7",G164,0)</f>
        <v>0</v>
      </c>
      <c r="U164" s="11">
        <f>IF(AG164="7",H164,0)</f>
        <v>0</v>
      </c>
      <c r="V164" s="11">
        <f>IF(AG164="2",G164,0)</f>
        <v>0</v>
      </c>
      <c r="W164" s="11">
        <f>IF(AG164="2",H164,0)</f>
        <v>0</v>
      </c>
      <c r="X164" s="11">
        <f>IF(AG164="0",I164,0)</f>
        <v>0</v>
      </c>
      <c r="Y164" s="6"/>
      <c r="Z164" s="4">
        <f>IF(AD164=0,I164,0)</f>
        <v>0</v>
      </c>
      <c r="AA164" s="4">
        <f>IF(AD164=15,I164,0)</f>
        <v>0</v>
      </c>
      <c r="AB164" s="4">
        <f>IF(AD164=21,I164,0)</f>
        <v>0</v>
      </c>
      <c r="AD164" s="11">
        <v>21</v>
      </c>
      <c r="AE164" s="11">
        <f>F164*0.203395085652275</f>
        <v>0</v>
      </c>
      <c r="AF164" s="11">
        <f>F164*(1-0.203395085652275)</f>
        <v>0</v>
      </c>
      <c r="AG164" s="7" t="s">
        <v>498</v>
      </c>
      <c r="AM164" s="11">
        <f>E164*AE164</f>
        <v>0</v>
      </c>
      <c r="AN164" s="11">
        <f>E164*AF164</f>
        <v>0</v>
      </c>
      <c r="AO164" s="12" t="s">
        <v>190</v>
      </c>
      <c r="AP164" s="12" t="s">
        <v>225</v>
      </c>
      <c r="AQ164" s="6" t="s">
        <v>234</v>
      </c>
      <c r="AS164" s="11">
        <f>AM164+AN164</f>
        <v>0</v>
      </c>
      <c r="AT164" s="11">
        <f>F164/(100-AU164)*100</f>
        <v>0</v>
      </c>
      <c r="AU164" s="11">
        <v>0</v>
      </c>
      <c r="AV164" s="11">
        <f>K164</f>
        <v>3.74309706</v>
      </c>
    </row>
    <row r="165" spans="1:14" ht="12.75">
      <c r="A165" s="39"/>
      <c r="B165" s="39"/>
      <c r="C165" s="63" t="s">
        <v>1405</v>
      </c>
      <c r="D165" s="39"/>
      <c r="E165" s="64">
        <v>84.039</v>
      </c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1:48" ht="12.75">
      <c r="A166" s="59" t="s">
        <v>560</v>
      </c>
      <c r="B166" s="59" t="s">
        <v>933</v>
      </c>
      <c r="C166" s="59" t="s">
        <v>1406</v>
      </c>
      <c r="D166" s="59" t="s">
        <v>142</v>
      </c>
      <c r="E166" s="60">
        <v>416.321</v>
      </c>
      <c r="F166" s="61"/>
      <c r="G166" s="61">
        <f>E166*AE166</f>
        <v>0</v>
      </c>
      <c r="H166" s="61">
        <f>I166-G166</f>
        <v>0</v>
      </c>
      <c r="I166" s="61">
        <f>E166*F166</f>
        <v>0</v>
      </c>
      <c r="J166" s="61">
        <v>8E-05</v>
      </c>
      <c r="K166" s="61">
        <f>E166*J166</f>
        <v>0.033305680000000004</v>
      </c>
      <c r="L166" s="62" t="s">
        <v>170</v>
      </c>
      <c r="M166" s="39"/>
      <c r="N166" s="39"/>
      <c r="P166" s="11">
        <f>IF(AG166="5",I166,0)</f>
        <v>0</v>
      </c>
      <c r="R166" s="11">
        <f>IF(AG166="1",G166,0)</f>
        <v>0</v>
      </c>
      <c r="S166" s="11">
        <f>IF(AG166="1",H166,0)</f>
        <v>0</v>
      </c>
      <c r="T166" s="11">
        <f>IF(AG166="7",G166,0)</f>
        <v>0</v>
      </c>
      <c r="U166" s="11">
        <f>IF(AG166="7",H166,0)</f>
        <v>0</v>
      </c>
      <c r="V166" s="11">
        <f>IF(AG166="2",G166,0)</f>
        <v>0</v>
      </c>
      <c r="W166" s="11">
        <f>IF(AG166="2",H166,0)</f>
        <v>0</v>
      </c>
      <c r="X166" s="11">
        <f>IF(AG166="0",I166,0)</f>
        <v>0</v>
      </c>
      <c r="Y166" s="6"/>
      <c r="Z166" s="4">
        <f>IF(AD166=0,I166,0)</f>
        <v>0</v>
      </c>
      <c r="AA166" s="4">
        <f>IF(AD166=15,I166,0)</f>
        <v>0</v>
      </c>
      <c r="AB166" s="4">
        <f>IF(AD166=21,I166,0)</f>
        <v>0</v>
      </c>
      <c r="AD166" s="11">
        <v>21</v>
      </c>
      <c r="AE166" s="11">
        <f>F166*1</f>
        <v>0</v>
      </c>
      <c r="AF166" s="11">
        <f>F166*(1-1)</f>
        <v>0</v>
      </c>
      <c r="AG166" s="7" t="s">
        <v>498</v>
      </c>
      <c r="AM166" s="11">
        <f>E166*AE166</f>
        <v>0</v>
      </c>
      <c r="AN166" s="11">
        <f>E166*AF166</f>
        <v>0</v>
      </c>
      <c r="AO166" s="12" t="s">
        <v>190</v>
      </c>
      <c r="AP166" s="12" t="s">
        <v>225</v>
      </c>
      <c r="AQ166" s="6" t="s">
        <v>234</v>
      </c>
      <c r="AS166" s="11">
        <f>AM166+AN166</f>
        <v>0</v>
      </c>
      <c r="AT166" s="11">
        <f>F166/(100-AU166)*100</f>
        <v>0</v>
      </c>
      <c r="AU166" s="11">
        <v>0</v>
      </c>
      <c r="AV166" s="11">
        <f>K166</f>
        <v>0.033305680000000004</v>
      </c>
    </row>
    <row r="167" spans="1:14" ht="12.75">
      <c r="A167" s="39"/>
      <c r="B167" s="39"/>
      <c r="C167" s="63" t="s">
        <v>1407</v>
      </c>
      <c r="D167" s="39"/>
      <c r="E167" s="64">
        <v>416.321</v>
      </c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1:48" ht="12.75">
      <c r="A168" s="59" t="s">
        <v>561</v>
      </c>
      <c r="B168" s="59" t="s">
        <v>934</v>
      </c>
      <c r="C168" s="59" t="s">
        <v>1408</v>
      </c>
      <c r="D168" s="59" t="s">
        <v>146</v>
      </c>
      <c r="E168" s="60">
        <v>41.04</v>
      </c>
      <c r="F168" s="61"/>
      <c r="G168" s="61">
        <f>E168*AE168</f>
        <v>0</v>
      </c>
      <c r="H168" s="61">
        <f>I168-G168</f>
        <v>0</v>
      </c>
      <c r="I168" s="61">
        <f>E168*F168</f>
        <v>0</v>
      </c>
      <c r="J168" s="61">
        <v>0.00046</v>
      </c>
      <c r="K168" s="61">
        <f>E168*J168</f>
        <v>0.0188784</v>
      </c>
      <c r="L168" s="62" t="s">
        <v>170</v>
      </c>
      <c r="M168" s="39"/>
      <c r="N168" s="39"/>
      <c r="P168" s="11">
        <f>IF(AG168="5",I168,0)</f>
        <v>0</v>
      </c>
      <c r="R168" s="11">
        <f>IF(AG168="1",G168,0)</f>
        <v>0</v>
      </c>
      <c r="S168" s="11">
        <f>IF(AG168="1",H168,0)</f>
        <v>0</v>
      </c>
      <c r="T168" s="11">
        <f>IF(AG168="7",G168,0)</f>
        <v>0</v>
      </c>
      <c r="U168" s="11">
        <f>IF(AG168="7",H168,0)</f>
        <v>0</v>
      </c>
      <c r="V168" s="11">
        <f>IF(AG168="2",G168,0)</f>
        <v>0</v>
      </c>
      <c r="W168" s="11">
        <f>IF(AG168="2",H168,0)</f>
        <v>0</v>
      </c>
      <c r="X168" s="11">
        <f>IF(AG168="0",I168,0)</f>
        <v>0</v>
      </c>
      <c r="Y168" s="6"/>
      <c r="Z168" s="4">
        <f>IF(AD168=0,I168,0)</f>
        <v>0</v>
      </c>
      <c r="AA168" s="4">
        <f>IF(AD168=15,I168,0)</f>
        <v>0</v>
      </c>
      <c r="AB168" s="4">
        <f>IF(AD168=21,I168,0)</f>
        <v>0</v>
      </c>
      <c r="AD168" s="11">
        <v>21</v>
      </c>
      <c r="AE168" s="11">
        <f>F168*1</f>
        <v>0</v>
      </c>
      <c r="AF168" s="11">
        <f>F168*(1-1)</f>
        <v>0</v>
      </c>
      <c r="AG168" s="7" t="s">
        <v>498</v>
      </c>
      <c r="AM168" s="11">
        <f>E168*AE168</f>
        <v>0</v>
      </c>
      <c r="AN168" s="11">
        <f>E168*AF168</f>
        <v>0</v>
      </c>
      <c r="AO168" s="12" t="s">
        <v>190</v>
      </c>
      <c r="AP168" s="12" t="s">
        <v>225</v>
      </c>
      <c r="AQ168" s="6" t="s">
        <v>234</v>
      </c>
      <c r="AS168" s="11">
        <f>AM168+AN168</f>
        <v>0</v>
      </c>
      <c r="AT168" s="11">
        <f>F168/(100-AU168)*100</f>
        <v>0</v>
      </c>
      <c r="AU168" s="11">
        <v>0</v>
      </c>
      <c r="AV168" s="11">
        <f>K168</f>
        <v>0.0188784</v>
      </c>
    </row>
    <row r="169" spans="1:14" ht="12.75">
      <c r="A169" s="39"/>
      <c r="B169" s="39"/>
      <c r="C169" s="63" t="s">
        <v>1409</v>
      </c>
      <c r="D169" s="39"/>
      <c r="E169" s="64">
        <v>41.04</v>
      </c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1:48" ht="12.75">
      <c r="A170" s="59" t="s">
        <v>562</v>
      </c>
      <c r="B170" s="59" t="s">
        <v>935</v>
      </c>
      <c r="C170" s="59" t="s">
        <v>1410</v>
      </c>
      <c r="D170" s="59" t="s">
        <v>142</v>
      </c>
      <c r="E170" s="60">
        <v>436.817</v>
      </c>
      <c r="F170" s="61"/>
      <c r="G170" s="61">
        <f>E170*AE170</f>
        <v>0</v>
      </c>
      <c r="H170" s="61">
        <f>I170-G170</f>
        <v>0</v>
      </c>
      <c r="I170" s="61">
        <f>E170*F170</f>
        <v>0</v>
      </c>
      <c r="J170" s="61">
        <v>0.01581</v>
      </c>
      <c r="K170" s="61">
        <f>E170*J170</f>
        <v>6.90607677</v>
      </c>
      <c r="L170" s="62" t="s">
        <v>170</v>
      </c>
      <c r="M170" s="39"/>
      <c r="N170" s="39"/>
      <c r="P170" s="11">
        <f>IF(AG170="5",I170,0)</f>
        <v>0</v>
      </c>
      <c r="R170" s="11">
        <f>IF(AG170="1",G170,0)</f>
        <v>0</v>
      </c>
      <c r="S170" s="11">
        <f>IF(AG170="1",H170,0)</f>
        <v>0</v>
      </c>
      <c r="T170" s="11">
        <f>IF(AG170="7",G170,0)</f>
        <v>0</v>
      </c>
      <c r="U170" s="11">
        <f>IF(AG170="7",H170,0)</f>
        <v>0</v>
      </c>
      <c r="V170" s="11">
        <f>IF(AG170="2",G170,0)</f>
        <v>0</v>
      </c>
      <c r="W170" s="11">
        <f>IF(AG170="2",H170,0)</f>
        <v>0</v>
      </c>
      <c r="X170" s="11">
        <f>IF(AG170="0",I170,0)</f>
        <v>0</v>
      </c>
      <c r="Y170" s="6"/>
      <c r="Z170" s="4">
        <f>IF(AD170=0,I170,0)</f>
        <v>0</v>
      </c>
      <c r="AA170" s="4">
        <f>IF(AD170=15,I170,0)</f>
        <v>0</v>
      </c>
      <c r="AB170" s="4">
        <f>IF(AD170=21,I170,0)</f>
        <v>0</v>
      </c>
      <c r="AD170" s="11">
        <v>21</v>
      </c>
      <c r="AE170" s="11">
        <f>F170*0.249237668161435</f>
        <v>0</v>
      </c>
      <c r="AF170" s="11">
        <f>F170*(1-0.249237668161435)</f>
        <v>0</v>
      </c>
      <c r="AG170" s="7" t="s">
        <v>498</v>
      </c>
      <c r="AM170" s="11">
        <f>E170*AE170</f>
        <v>0</v>
      </c>
      <c r="AN170" s="11">
        <f>E170*AF170</f>
        <v>0</v>
      </c>
      <c r="AO170" s="12" t="s">
        <v>190</v>
      </c>
      <c r="AP170" s="12" t="s">
        <v>225</v>
      </c>
      <c r="AQ170" s="6" t="s">
        <v>234</v>
      </c>
      <c r="AS170" s="11">
        <f>AM170+AN170</f>
        <v>0</v>
      </c>
      <c r="AT170" s="11">
        <f>F170/(100-AU170)*100</f>
        <v>0</v>
      </c>
      <c r="AU170" s="11">
        <v>0</v>
      </c>
      <c r="AV170" s="11">
        <f>K170</f>
        <v>6.90607677</v>
      </c>
    </row>
    <row r="171" spans="1:14" ht="12.75">
      <c r="A171" s="39"/>
      <c r="B171" s="39"/>
      <c r="C171" s="63" t="s">
        <v>1411</v>
      </c>
      <c r="D171" s="39"/>
      <c r="E171" s="64">
        <v>436.817</v>
      </c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1:48" ht="12.75">
      <c r="A172" s="59" t="s">
        <v>563</v>
      </c>
      <c r="B172" s="59" t="s">
        <v>936</v>
      </c>
      <c r="C172" s="59" t="s">
        <v>1412</v>
      </c>
      <c r="D172" s="59" t="s">
        <v>142</v>
      </c>
      <c r="E172" s="60">
        <v>436.817</v>
      </c>
      <c r="F172" s="61"/>
      <c r="G172" s="61">
        <f>E172*AE172</f>
        <v>0</v>
      </c>
      <c r="H172" s="61">
        <f>I172-G172</f>
        <v>0</v>
      </c>
      <c r="I172" s="61">
        <f>E172*F172</f>
        <v>0</v>
      </c>
      <c r="J172" s="61">
        <v>0.00367</v>
      </c>
      <c r="K172" s="61">
        <f>E172*J172</f>
        <v>1.6031183900000001</v>
      </c>
      <c r="L172" s="62" t="s">
        <v>170</v>
      </c>
      <c r="M172" s="39"/>
      <c r="N172" s="39"/>
      <c r="P172" s="11">
        <f>IF(AG172="5",I172,0)</f>
        <v>0</v>
      </c>
      <c r="R172" s="11">
        <f>IF(AG172="1",G172,0)</f>
        <v>0</v>
      </c>
      <c r="S172" s="11">
        <f>IF(AG172="1",H172,0)</f>
        <v>0</v>
      </c>
      <c r="T172" s="11">
        <f>IF(AG172="7",G172,0)</f>
        <v>0</v>
      </c>
      <c r="U172" s="11">
        <f>IF(AG172="7",H172,0)</f>
        <v>0</v>
      </c>
      <c r="V172" s="11">
        <f>IF(AG172="2",G172,0)</f>
        <v>0</v>
      </c>
      <c r="W172" s="11">
        <f>IF(AG172="2",H172,0)</f>
        <v>0</v>
      </c>
      <c r="X172" s="11">
        <f>IF(AG172="0",I172,0)</f>
        <v>0</v>
      </c>
      <c r="Y172" s="6"/>
      <c r="Z172" s="4">
        <f>IF(AD172=0,I172,0)</f>
        <v>0</v>
      </c>
      <c r="AA172" s="4">
        <f>IF(AD172=15,I172,0)</f>
        <v>0</v>
      </c>
      <c r="AB172" s="4">
        <f>IF(AD172=21,I172,0)</f>
        <v>0</v>
      </c>
      <c r="AD172" s="11">
        <v>21</v>
      </c>
      <c r="AE172" s="11">
        <f>F172*0.283412073490814</f>
        <v>0</v>
      </c>
      <c r="AF172" s="11">
        <f>F172*(1-0.283412073490814)</f>
        <v>0</v>
      </c>
      <c r="AG172" s="7" t="s">
        <v>498</v>
      </c>
      <c r="AM172" s="11">
        <f>E172*AE172</f>
        <v>0</v>
      </c>
      <c r="AN172" s="11">
        <f>E172*AF172</f>
        <v>0</v>
      </c>
      <c r="AO172" s="12" t="s">
        <v>190</v>
      </c>
      <c r="AP172" s="12" t="s">
        <v>225</v>
      </c>
      <c r="AQ172" s="6" t="s">
        <v>234</v>
      </c>
      <c r="AS172" s="11">
        <f>AM172+AN172</f>
        <v>0</v>
      </c>
      <c r="AT172" s="11">
        <f>F172/(100-AU172)*100</f>
        <v>0</v>
      </c>
      <c r="AU172" s="11">
        <v>0</v>
      </c>
      <c r="AV172" s="11">
        <f>K172</f>
        <v>1.6031183900000001</v>
      </c>
    </row>
    <row r="173" spans="1:14" ht="12.75">
      <c r="A173" s="39"/>
      <c r="B173" s="39"/>
      <c r="C173" s="63" t="s">
        <v>1411</v>
      </c>
      <c r="D173" s="39"/>
      <c r="E173" s="64">
        <v>436.817</v>
      </c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1:48" ht="12.75">
      <c r="A174" s="59" t="s">
        <v>564</v>
      </c>
      <c r="B174" s="59" t="s">
        <v>937</v>
      </c>
      <c r="C174" s="59" t="s">
        <v>1413</v>
      </c>
      <c r="D174" s="59" t="s">
        <v>142</v>
      </c>
      <c r="E174" s="60">
        <v>436.817</v>
      </c>
      <c r="F174" s="61"/>
      <c r="G174" s="61">
        <f>E174*AE174</f>
        <v>0</v>
      </c>
      <c r="H174" s="61">
        <f>I174-G174</f>
        <v>0</v>
      </c>
      <c r="I174" s="61">
        <f>E174*F174</f>
        <v>0</v>
      </c>
      <c r="J174" s="61">
        <v>0.00524</v>
      </c>
      <c r="K174" s="61">
        <f>E174*J174</f>
        <v>2.28892108</v>
      </c>
      <c r="L174" s="62" t="s">
        <v>170</v>
      </c>
      <c r="M174" s="39"/>
      <c r="N174" s="39"/>
      <c r="P174" s="11">
        <f>IF(AG174="5",I174,0)</f>
        <v>0</v>
      </c>
      <c r="R174" s="11">
        <f>IF(AG174="1",G174,0)</f>
        <v>0</v>
      </c>
      <c r="S174" s="11">
        <f>IF(AG174="1",H174,0)</f>
        <v>0</v>
      </c>
      <c r="T174" s="11">
        <f>IF(AG174="7",G174,0)</f>
        <v>0</v>
      </c>
      <c r="U174" s="11">
        <f>IF(AG174="7",H174,0)</f>
        <v>0</v>
      </c>
      <c r="V174" s="11">
        <f>IF(AG174="2",G174,0)</f>
        <v>0</v>
      </c>
      <c r="W174" s="11">
        <f>IF(AG174="2",H174,0)</f>
        <v>0</v>
      </c>
      <c r="X174" s="11">
        <f>IF(AG174="0",I174,0)</f>
        <v>0</v>
      </c>
      <c r="Y174" s="6"/>
      <c r="Z174" s="4">
        <f>IF(AD174=0,I174,0)</f>
        <v>0</v>
      </c>
      <c r="AA174" s="4">
        <f>IF(AD174=15,I174,0)</f>
        <v>0</v>
      </c>
      <c r="AB174" s="4">
        <f>IF(AD174=21,I174,0)</f>
        <v>0</v>
      </c>
      <c r="AD174" s="11">
        <v>21</v>
      </c>
      <c r="AE174" s="11">
        <f>F174*0.434853535711753</f>
        <v>0</v>
      </c>
      <c r="AF174" s="11">
        <f>F174*(1-0.434853535711753)</f>
        <v>0</v>
      </c>
      <c r="AG174" s="7" t="s">
        <v>498</v>
      </c>
      <c r="AM174" s="11">
        <f>E174*AE174</f>
        <v>0</v>
      </c>
      <c r="AN174" s="11">
        <f>E174*AF174</f>
        <v>0</v>
      </c>
      <c r="AO174" s="12" t="s">
        <v>190</v>
      </c>
      <c r="AP174" s="12" t="s">
        <v>225</v>
      </c>
      <c r="AQ174" s="6" t="s">
        <v>234</v>
      </c>
      <c r="AS174" s="11">
        <f>AM174+AN174</f>
        <v>0</v>
      </c>
      <c r="AT174" s="11">
        <f>F174/(100-AU174)*100</f>
        <v>0</v>
      </c>
      <c r="AU174" s="11">
        <v>0</v>
      </c>
      <c r="AV174" s="11">
        <f>K174</f>
        <v>2.28892108</v>
      </c>
    </row>
    <row r="175" spans="1:14" ht="12.75">
      <c r="A175" s="39"/>
      <c r="B175" s="39"/>
      <c r="C175" s="63" t="s">
        <v>1411</v>
      </c>
      <c r="D175" s="39"/>
      <c r="E175" s="64">
        <v>436.817</v>
      </c>
      <c r="F175" s="39"/>
      <c r="G175" s="39"/>
      <c r="H175" s="39"/>
      <c r="I175" s="39"/>
      <c r="J175" s="39"/>
      <c r="K175" s="39"/>
      <c r="L175" s="39"/>
      <c r="M175" s="39"/>
      <c r="N175" s="39"/>
    </row>
    <row r="176" spans="1:48" ht="12.75">
      <c r="A176" s="59" t="s">
        <v>565</v>
      </c>
      <c r="B176" s="59" t="s">
        <v>938</v>
      </c>
      <c r="C176" s="59" t="s">
        <v>1414</v>
      </c>
      <c r="D176" s="59" t="s">
        <v>142</v>
      </c>
      <c r="E176" s="60">
        <v>55.2</v>
      </c>
      <c r="F176" s="61"/>
      <c r="G176" s="61">
        <f>E176*AE176</f>
        <v>0</v>
      </c>
      <c r="H176" s="61">
        <f>I176-G176</f>
        <v>0</v>
      </c>
      <c r="I176" s="61">
        <f>E176*F176</f>
        <v>0</v>
      </c>
      <c r="J176" s="61">
        <v>0.07066</v>
      </c>
      <c r="K176" s="61">
        <f>E176*J176</f>
        <v>3.9004320000000003</v>
      </c>
      <c r="L176" s="62" t="s">
        <v>170</v>
      </c>
      <c r="M176" s="39"/>
      <c r="N176" s="39"/>
      <c r="P176" s="11">
        <f>IF(AG176="5",I176,0)</f>
        <v>0</v>
      </c>
      <c r="R176" s="11">
        <f>IF(AG176="1",G176,0)</f>
        <v>0</v>
      </c>
      <c r="S176" s="11">
        <f>IF(AG176="1",H176,0)</f>
        <v>0</v>
      </c>
      <c r="T176" s="11">
        <f>IF(AG176="7",G176,0)</f>
        <v>0</v>
      </c>
      <c r="U176" s="11">
        <f>IF(AG176="7",H176,0)</f>
        <v>0</v>
      </c>
      <c r="V176" s="11">
        <f>IF(AG176="2",G176,0)</f>
        <v>0</v>
      </c>
      <c r="W176" s="11">
        <f>IF(AG176="2",H176,0)</f>
        <v>0</v>
      </c>
      <c r="X176" s="11">
        <f>IF(AG176="0",I176,0)</f>
        <v>0</v>
      </c>
      <c r="Y176" s="6"/>
      <c r="Z176" s="4">
        <f>IF(AD176=0,I176,0)</f>
        <v>0</v>
      </c>
      <c r="AA176" s="4">
        <f>IF(AD176=15,I176,0)</f>
        <v>0</v>
      </c>
      <c r="AB176" s="4">
        <f>IF(AD176=21,I176,0)</f>
        <v>0</v>
      </c>
      <c r="AD176" s="11">
        <v>21</v>
      </c>
      <c r="AE176" s="11">
        <f>F176*0.527082474226804</f>
        <v>0</v>
      </c>
      <c r="AF176" s="11">
        <f>F176*(1-0.527082474226804)</f>
        <v>0</v>
      </c>
      <c r="AG176" s="7" t="s">
        <v>498</v>
      </c>
      <c r="AM176" s="11">
        <f>E176*AE176</f>
        <v>0</v>
      </c>
      <c r="AN176" s="11">
        <f>E176*AF176</f>
        <v>0</v>
      </c>
      <c r="AO176" s="12" t="s">
        <v>190</v>
      </c>
      <c r="AP176" s="12" t="s">
        <v>225</v>
      </c>
      <c r="AQ176" s="6" t="s">
        <v>234</v>
      </c>
      <c r="AS176" s="11">
        <f>AM176+AN176</f>
        <v>0</v>
      </c>
      <c r="AT176" s="11">
        <f>F176/(100-AU176)*100</f>
        <v>0</v>
      </c>
      <c r="AU176" s="11">
        <v>0</v>
      </c>
      <c r="AV176" s="11">
        <f>K176</f>
        <v>3.9004320000000003</v>
      </c>
    </row>
    <row r="177" spans="1:14" ht="12.75">
      <c r="A177" s="39"/>
      <c r="B177" s="39"/>
      <c r="C177" s="63" t="s">
        <v>1415</v>
      </c>
      <c r="D177" s="39"/>
      <c r="E177" s="64">
        <v>55.2</v>
      </c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1:48" ht="12.75">
      <c r="A178" s="59" t="s">
        <v>566</v>
      </c>
      <c r="B178" s="59" t="s">
        <v>939</v>
      </c>
      <c r="C178" s="59" t="s">
        <v>1416</v>
      </c>
      <c r="D178" s="59" t="s">
        <v>145</v>
      </c>
      <c r="E178" s="60">
        <v>5.52</v>
      </c>
      <c r="F178" s="61"/>
      <c r="G178" s="61">
        <f>E178*AE178</f>
        <v>0</v>
      </c>
      <c r="H178" s="61">
        <f>I178-G178</f>
        <v>0</v>
      </c>
      <c r="I178" s="61">
        <f>E178*F178</f>
        <v>0</v>
      </c>
      <c r="J178" s="61">
        <v>0.001</v>
      </c>
      <c r="K178" s="61">
        <f>E178*J178</f>
        <v>0.00552</v>
      </c>
      <c r="L178" s="62" t="s">
        <v>170</v>
      </c>
      <c r="M178" s="39"/>
      <c r="N178" s="39"/>
      <c r="P178" s="11">
        <f>IF(AG178="5",I178,0)</f>
        <v>0</v>
      </c>
      <c r="R178" s="11">
        <f>IF(AG178="1",G178,0)</f>
        <v>0</v>
      </c>
      <c r="S178" s="11">
        <f>IF(AG178="1",H178,0)</f>
        <v>0</v>
      </c>
      <c r="T178" s="11">
        <f>IF(AG178="7",G178,0)</f>
        <v>0</v>
      </c>
      <c r="U178" s="11">
        <f>IF(AG178="7",H178,0)</f>
        <v>0</v>
      </c>
      <c r="V178" s="11">
        <f>IF(AG178="2",G178,0)</f>
        <v>0</v>
      </c>
      <c r="W178" s="11">
        <f>IF(AG178="2",H178,0)</f>
        <v>0</v>
      </c>
      <c r="X178" s="11">
        <f>IF(AG178="0",I178,0)</f>
        <v>0</v>
      </c>
      <c r="Y178" s="6"/>
      <c r="Z178" s="4">
        <f>IF(AD178=0,I178,0)</f>
        <v>0</v>
      </c>
      <c r="AA178" s="4">
        <f>IF(AD178=15,I178,0)</f>
        <v>0</v>
      </c>
      <c r="AB178" s="4">
        <f>IF(AD178=21,I178,0)</f>
        <v>0</v>
      </c>
      <c r="AD178" s="11">
        <v>21</v>
      </c>
      <c r="AE178" s="11">
        <f>F178*1</f>
        <v>0</v>
      </c>
      <c r="AF178" s="11">
        <f>F178*(1-1)</f>
        <v>0</v>
      </c>
      <c r="AG178" s="7" t="s">
        <v>498</v>
      </c>
      <c r="AM178" s="11">
        <f>E178*AE178</f>
        <v>0</v>
      </c>
      <c r="AN178" s="11">
        <f>E178*AF178</f>
        <v>0</v>
      </c>
      <c r="AO178" s="12" t="s">
        <v>190</v>
      </c>
      <c r="AP178" s="12" t="s">
        <v>225</v>
      </c>
      <c r="AQ178" s="6" t="s">
        <v>234</v>
      </c>
      <c r="AS178" s="11">
        <f>AM178+AN178</f>
        <v>0</v>
      </c>
      <c r="AT178" s="11">
        <f>F178/(100-AU178)*100</f>
        <v>0</v>
      </c>
      <c r="AU178" s="11">
        <v>0</v>
      </c>
      <c r="AV178" s="11">
        <f>K178</f>
        <v>0.00552</v>
      </c>
    </row>
    <row r="179" spans="1:14" ht="12.75">
      <c r="A179" s="39"/>
      <c r="B179" s="39"/>
      <c r="C179" s="63" t="s">
        <v>1417</v>
      </c>
      <c r="D179" s="39"/>
      <c r="E179" s="64">
        <v>5.52</v>
      </c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1:14" ht="12.75">
      <c r="A180" s="39"/>
      <c r="B180" s="65" t="s">
        <v>872</v>
      </c>
      <c r="C180" s="303" t="s">
        <v>1418</v>
      </c>
      <c r="D180" s="304"/>
      <c r="E180" s="304"/>
      <c r="F180" s="304"/>
      <c r="G180" s="304"/>
      <c r="H180" s="304"/>
      <c r="I180" s="304"/>
      <c r="J180" s="304"/>
      <c r="K180" s="304"/>
      <c r="L180" s="304"/>
      <c r="M180" s="39"/>
      <c r="N180" s="39"/>
    </row>
    <row r="181" spans="1:48" ht="12.75">
      <c r="A181" s="59" t="s">
        <v>567</v>
      </c>
      <c r="B181" s="59" t="s">
        <v>940</v>
      </c>
      <c r="C181" s="59" t="s">
        <v>1419</v>
      </c>
      <c r="D181" s="59" t="s">
        <v>146</v>
      </c>
      <c r="E181" s="60">
        <v>10</v>
      </c>
      <c r="F181" s="61"/>
      <c r="G181" s="61">
        <f>E181*AE181</f>
        <v>0</v>
      </c>
      <c r="H181" s="61">
        <f>I181-G181</f>
        <v>0</v>
      </c>
      <c r="I181" s="61">
        <f>E181*F181</f>
        <v>0</v>
      </c>
      <c r="J181" s="61">
        <v>0</v>
      </c>
      <c r="K181" s="61">
        <f>E181*J181</f>
        <v>0</v>
      </c>
      <c r="L181" s="62" t="s">
        <v>170</v>
      </c>
      <c r="M181" s="39"/>
      <c r="N181" s="39"/>
      <c r="P181" s="11">
        <f>IF(AG181="5",I181,0)</f>
        <v>0</v>
      </c>
      <c r="R181" s="11">
        <f>IF(AG181="1",G181,0)</f>
        <v>0</v>
      </c>
      <c r="S181" s="11">
        <f>IF(AG181="1",H181,0)</f>
        <v>0</v>
      </c>
      <c r="T181" s="11">
        <f>IF(AG181="7",G181,0)</f>
        <v>0</v>
      </c>
      <c r="U181" s="11">
        <f>IF(AG181="7",H181,0)</f>
        <v>0</v>
      </c>
      <c r="V181" s="11">
        <f>IF(AG181="2",G181,0)</f>
        <v>0</v>
      </c>
      <c r="W181" s="11">
        <f>IF(AG181="2",H181,0)</f>
        <v>0</v>
      </c>
      <c r="X181" s="11">
        <f>IF(AG181="0",I181,0)</f>
        <v>0</v>
      </c>
      <c r="Y181" s="6"/>
      <c r="Z181" s="4">
        <f>IF(AD181=0,I181,0)</f>
        <v>0</v>
      </c>
      <c r="AA181" s="4">
        <f>IF(AD181=15,I181,0)</f>
        <v>0</v>
      </c>
      <c r="AB181" s="4">
        <f>IF(AD181=21,I181,0)</f>
        <v>0</v>
      </c>
      <c r="AD181" s="11">
        <v>21</v>
      </c>
      <c r="AE181" s="11">
        <f>F181*0</f>
        <v>0</v>
      </c>
      <c r="AF181" s="11">
        <f>F181*(1-0)</f>
        <v>0</v>
      </c>
      <c r="AG181" s="7" t="s">
        <v>498</v>
      </c>
      <c r="AM181" s="11">
        <f>E181*AE181</f>
        <v>0</v>
      </c>
      <c r="AN181" s="11">
        <f>E181*AF181</f>
        <v>0</v>
      </c>
      <c r="AO181" s="12" t="s">
        <v>190</v>
      </c>
      <c r="AP181" s="12" t="s">
        <v>225</v>
      </c>
      <c r="AQ181" s="6" t="s">
        <v>234</v>
      </c>
      <c r="AS181" s="11">
        <f>AM181+AN181</f>
        <v>0</v>
      </c>
      <c r="AT181" s="11">
        <f>F181/(100-AU181)*100</f>
        <v>0</v>
      </c>
      <c r="AU181" s="11">
        <v>0</v>
      </c>
      <c r="AV181" s="11">
        <f>K181</f>
        <v>0</v>
      </c>
    </row>
    <row r="182" spans="1:14" ht="12.75">
      <c r="A182" s="39"/>
      <c r="B182" s="39"/>
      <c r="C182" s="63" t="s">
        <v>507</v>
      </c>
      <c r="D182" s="39"/>
      <c r="E182" s="64">
        <v>10</v>
      </c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1:48" ht="12.75">
      <c r="A183" s="70" t="s">
        <v>568</v>
      </c>
      <c r="B183" s="70" t="s">
        <v>941</v>
      </c>
      <c r="C183" s="70" t="s">
        <v>1420</v>
      </c>
      <c r="D183" s="70" t="s">
        <v>142</v>
      </c>
      <c r="E183" s="71">
        <v>1.296</v>
      </c>
      <c r="F183" s="72"/>
      <c r="G183" s="72">
        <f>E183*AE183</f>
        <v>0</v>
      </c>
      <c r="H183" s="72">
        <f>I183-G183</f>
        <v>0</v>
      </c>
      <c r="I183" s="72">
        <f>E183*F183</f>
        <v>0</v>
      </c>
      <c r="J183" s="72">
        <v>0.0096</v>
      </c>
      <c r="K183" s="72">
        <f>E183*J183</f>
        <v>0.012441599999999999</v>
      </c>
      <c r="L183" s="73" t="s">
        <v>170</v>
      </c>
      <c r="M183" s="39"/>
      <c r="N183" s="39"/>
      <c r="P183" s="11">
        <f>IF(AG183="5",I183,0)</f>
        <v>0</v>
      </c>
      <c r="R183" s="11">
        <f>IF(AG183="1",G183,0)</f>
        <v>0</v>
      </c>
      <c r="S183" s="11">
        <f>IF(AG183="1",H183,0)</f>
        <v>0</v>
      </c>
      <c r="T183" s="11">
        <f>IF(AG183="7",G183,0)</f>
        <v>0</v>
      </c>
      <c r="U183" s="11">
        <f>IF(AG183="7",H183,0)</f>
        <v>0</v>
      </c>
      <c r="V183" s="11">
        <f>IF(AG183="2",G183,0)</f>
        <v>0</v>
      </c>
      <c r="W183" s="11">
        <f>IF(AG183="2",H183,0)</f>
        <v>0</v>
      </c>
      <c r="X183" s="11">
        <f>IF(AG183="0",I183,0)</f>
        <v>0</v>
      </c>
      <c r="Y183" s="6"/>
      <c r="Z183" s="5">
        <f>IF(AD183=0,I183,0)</f>
        <v>0</v>
      </c>
      <c r="AA183" s="5">
        <f>IF(AD183=15,I183,0)</f>
        <v>0</v>
      </c>
      <c r="AB183" s="5">
        <f>IF(AD183=21,I183,0)</f>
        <v>0</v>
      </c>
      <c r="AD183" s="11">
        <v>21</v>
      </c>
      <c r="AE183" s="11">
        <f>F183*1</f>
        <v>0</v>
      </c>
      <c r="AF183" s="11">
        <f>F183*(1-1)</f>
        <v>0</v>
      </c>
      <c r="AG183" s="8" t="s">
        <v>498</v>
      </c>
      <c r="AM183" s="11">
        <f>E183*AE183</f>
        <v>0</v>
      </c>
      <c r="AN183" s="11">
        <f>E183*AF183</f>
        <v>0</v>
      </c>
      <c r="AO183" s="12" t="s">
        <v>190</v>
      </c>
      <c r="AP183" s="12" t="s">
        <v>225</v>
      </c>
      <c r="AQ183" s="6" t="s">
        <v>234</v>
      </c>
      <c r="AS183" s="11">
        <f>AM183+AN183</f>
        <v>0</v>
      </c>
      <c r="AT183" s="11">
        <f>F183/(100-AU183)*100</f>
        <v>0</v>
      </c>
      <c r="AU183" s="11">
        <v>0</v>
      </c>
      <c r="AV183" s="11">
        <f>K183</f>
        <v>0.012441599999999999</v>
      </c>
    </row>
    <row r="184" spans="1:14" ht="12.75">
      <c r="A184" s="39"/>
      <c r="B184" s="39"/>
      <c r="C184" s="63" t="s">
        <v>1421</v>
      </c>
      <c r="D184" s="39"/>
      <c r="E184" s="64">
        <v>1.2</v>
      </c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1:14" ht="12.75">
      <c r="A185" s="39"/>
      <c r="B185" s="39"/>
      <c r="C185" s="63" t="s">
        <v>1422</v>
      </c>
      <c r="D185" s="39"/>
      <c r="E185" s="64">
        <v>0.096</v>
      </c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1:48" ht="12.75">
      <c r="A186" s="59" t="s">
        <v>569</v>
      </c>
      <c r="B186" s="59" t="s">
        <v>942</v>
      </c>
      <c r="C186" s="59" t="s">
        <v>1423</v>
      </c>
      <c r="D186" s="59" t="s">
        <v>146</v>
      </c>
      <c r="E186" s="60">
        <v>76.42</v>
      </c>
      <c r="F186" s="61"/>
      <c r="G186" s="61">
        <f>E186*AE186</f>
        <v>0</v>
      </c>
      <c r="H186" s="61">
        <f>I186-G186</f>
        <v>0</v>
      </c>
      <c r="I186" s="61">
        <f>E186*F186</f>
        <v>0</v>
      </c>
      <c r="J186" s="61">
        <v>0.00015</v>
      </c>
      <c r="K186" s="61">
        <f>E186*J186</f>
        <v>0.011463</v>
      </c>
      <c r="L186" s="62" t="s">
        <v>170</v>
      </c>
      <c r="M186" s="39"/>
      <c r="N186" s="39"/>
      <c r="P186" s="11">
        <f>IF(AG186="5",I186,0)</f>
        <v>0</v>
      </c>
      <c r="R186" s="11">
        <f>IF(AG186="1",G186,0)</f>
        <v>0</v>
      </c>
      <c r="S186" s="11">
        <f>IF(AG186="1",H186,0)</f>
        <v>0</v>
      </c>
      <c r="T186" s="11">
        <f>IF(AG186="7",G186,0)</f>
        <v>0</v>
      </c>
      <c r="U186" s="11">
        <f>IF(AG186="7",H186,0)</f>
        <v>0</v>
      </c>
      <c r="V186" s="11">
        <f>IF(AG186="2",G186,0)</f>
        <v>0</v>
      </c>
      <c r="W186" s="11">
        <f>IF(AG186="2",H186,0)</f>
        <v>0</v>
      </c>
      <c r="X186" s="11">
        <f>IF(AG186="0",I186,0)</f>
        <v>0</v>
      </c>
      <c r="Y186" s="6"/>
      <c r="Z186" s="4">
        <f>IF(AD186=0,I186,0)</f>
        <v>0</v>
      </c>
      <c r="AA186" s="4">
        <f>IF(AD186=15,I186,0)</f>
        <v>0</v>
      </c>
      <c r="AB186" s="4">
        <f>IF(AD186=21,I186,0)</f>
        <v>0</v>
      </c>
      <c r="AD186" s="11">
        <v>21</v>
      </c>
      <c r="AE186" s="11">
        <f>F186*0.56968689387642</f>
        <v>0</v>
      </c>
      <c r="AF186" s="11">
        <f>F186*(1-0.56968689387642)</f>
        <v>0</v>
      </c>
      <c r="AG186" s="7" t="s">
        <v>498</v>
      </c>
      <c r="AM186" s="11">
        <f>E186*AE186</f>
        <v>0</v>
      </c>
      <c r="AN186" s="11">
        <f>E186*AF186</f>
        <v>0</v>
      </c>
      <c r="AO186" s="12" t="s">
        <v>190</v>
      </c>
      <c r="AP186" s="12" t="s">
        <v>225</v>
      </c>
      <c r="AQ186" s="6" t="s">
        <v>234</v>
      </c>
      <c r="AS186" s="11">
        <f>AM186+AN186</f>
        <v>0</v>
      </c>
      <c r="AT186" s="11">
        <f>F186/(100-AU186)*100</f>
        <v>0</v>
      </c>
      <c r="AU186" s="11">
        <v>0</v>
      </c>
      <c r="AV186" s="11">
        <f>K186</f>
        <v>0.011463</v>
      </c>
    </row>
    <row r="187" spans="1:14" ht="12.75">
      <c r="A187" s="39"/>
      <c r="B187" s="39"/>
      <c r="C187" s="63" t="s">
        <v>1424</v>
      </c>
      <c r="D187" s="39"/>
      <c r="E187" s="64">
        <v>76.42</v>
      </c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1:37" ht="12.75">
      <c r="A188" s="66"/>
      <c r="B188" s="67" t="s">
        <v>559</v>
      </c>
      <c r="C188" s="305" t="s">
        <v>1425</v>
      </c>
      <c r="D188" s="306"/>
      <c r="E188" s="306"/>
      <c r="F188" s="306"/>
      <c r="G188" s="68">
        <f>SUM(G189:G228)</f>
        <v>0</v>
      </c>
      <c r="H188" s="68">
        <f>SUM(H189:H228)</f>
        <v>0</v>
      </c>
      <c r="I188" s="68">
        <f>G188+H188</f>
        <v>0</v>
      </c>
      <c r="J188" s="69"/>
      <c r="K188" s="68">
        <f>SUM(K189:K228)</f>
        <v>12.28785045</v>
      </c>
      <c r="L188" s="69"/>
      <c r="M188" s="39"/>
      <c r="N188" s="39"/>
      <c r="Y188" s="6"/>
      <c r="AI188" s="13">
        <f>SUM(Z189:Z228)</f>
        <v>0</v>
      </c>
      <c r="AJ188" s="13">
        <f>SUM(AA189:AA228)</f>
        <v>0</v>
      </c>
      <c r="AK188" s="13">
        <f>SUM(AB189:AB228)</f>
        <v>0</v>
      </c>
    </row>
    <row r="189" spans="1:48" ht="12.75">
      <c r="A189" s="59" t="s">
        <v>570</v>
      </c>
      <c r="B189" s="59" t="s">
        <v>943</v>
      </c>
      <c r="C189" s="59" t="s">
        <v>1426</v>
      </c>
      <c r="D189" s="59" t="s">
        <v>142</v>
      </c>
      <c r="E189" s="60">
        <v>48.195</v>
      </c>
      <c r="F189" s="61"/>
      <c r="G189" s="61">
        <f>E189*AE189</f>
        <v>0</v>
      </c>
      <c r="H189" s="61">
        <f>I189-G189</f>
        <v>0</v>
      </c>
      <c r="I189" s="61">
        <f>E189*F189</f>
        <v>0</v>
      </c>
      <c r="J189" s="61">
        <v>4E-05</v>
      </c>
      <c r="K189" s="61">
        <f>E189*J189</f>
        <v>0.0019278000000000001</v>
      </c>
      <c r="L189" s="62" t="s">
        <v>170</v>
      </c>
      <c r="M189" s="39"/>
      <c r="N189" s="39"/>
      <c r="P189" s="11">
        <f>IF(AG189="5",I189,0)</f>
        <v>0</v>
      </c>
      <c r="R189" s="11">
        <f>IF(AG189="1",G189,0)</f>
        <v>0</v>
      </c>
      <c r="S189" s="11">
        <f>IF(AG189="1",H189,0)</f>
        <v>0</v>
      </c>
      <c r="T189" s="11">
        <f>IF(AG189="7",G189,0)</f>
        <v>0</v>
      </c>
      <c r="U189" s="11">
        <f>IF(AG189="7",H189,0)</f>
        <v>0</v>
      </c>
      <c r="V189" s="11">
        <f>IF(AG189="2",G189,0)</f>
        <v>0</v>
      </c>
      <c r="W189" s="11">
        <f>IF(AG189="2",H189,0)</f>
        <v>0</v>
      </c>
      <c r="X189" s="11">
        <f>IF(AG189="0",I189,0)</f>
        <v>0</v>
      </c>
      <c r="Y189" s="6"/>
      <c r="Z189" s="4">
        <f>IF(AD189=0,I189,0)</f>
        <v>0</v>
      </c>
      <c r="AA189" s="4">
        <f>IF(AD189=15,I189,0)</f>
        <v>0</v>
      </c>
      <c r="AB189" s="4">
        <f>IF(AD189=21,I189,0)</f>
        <v>0</v>
      </c>
      <c r="AD189" s="11">
        <v>21</v>
      </c>
      <c r="AE189" s="11">
        <f>F189*0.362200579099763</f>
        <v>0</v>
      </c>
      <c r="AF189" s="11">
        <f>F189*(1-0.362200579099763)</f>
        <v>0</v>
      </c>
      <c r="AG189" s="7" t="s">
        <v>498</v>
      </c>
      <c r="AM189" s="11">
        <f>E189*AE189</f>
        <v>0</v>
      </c>
      <c r="AN189" s="11">
        <f>E189*AF189</f>
        <v>0</v>
      </c>
      <c r="AO189" s="12" t="s">
        <v>191</v>
      </c>
      <c r="AP189" s="12" t="s">
        <v>225</v>
      </c>
      <c r="AQ189" s="6" t="s">
        <v>234</v>
      </c>
      <c r="AS189" s="11">
        <f>AM189+AN189</f>
        <v>0</v>
      </c>
      <c r="AT189" s="11">
        <f>F189/(100-AU189)*100</f>
        <v>0</v>
      </c>
      <c r="AU189" s="11">
        <v>0</v>
      </c>
      <c r="AV189" s="11">
        <f>K189</f>
        <v>0.0019278000000000001</v>
      </c>
    </row>
    <row r="190" spans="1:14" ht="12.75">
      <c r="A190" s="39"/>
      <c r="B190" s="39"/>
      <c r="C190" s="63" t="s">
        <v>1397</v>
      </c>
      <c r="D190" s="39"/>
      <c r="E190" s="64">
        <v>48.195</v>
      </c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48" ht="12.75">
      <c r="A191" s="59" t="s">
        <v>571</v>
      </c>
      <c r="B191" s="59" t="s">
        <v>944</v>
      </c>
      <c r="C191" s="59" t="s">
        <v>1427</v>
      </c>
      <c r="D191" s="59" t="s">
        <v>142</v>
      </c>
      <c r="E191" s="60">
        <v>257.473</v>
      </c>
      <c r="F191" s="61"/>
      <c r="G191" s="61">
        <f>E191*AE191</f>
        <v>0</v>
      </c>
      <c r="H191" s="61">
        <f>I191-G191</f>
        <v>0</v>
      </c>
      <c r="I191" s="61">
        <f>E191*F191</f>
        <v>0</v>
      </c>
      <c r="J191" s="61">
        <v>0</v>
      </c>
      <c r="K191" s="61">
        <f>E191*J191</f>
        <v>0</v>
      </c>
      <c r="L191" s="62" t="s">
        <v>170</v>
      </c>
      <c r="M191" s="39"/>
      <c r="N191" s="39"/>
      <c r="P191" s="11">
        <f>IF(AG191="5",I191,0)</f>
        <v>0</v>
      </c>
      <c r="R191" s="11">
        <f>IF(AG191="1",G191,0)</f>
        <v>0</v>
      </c>
      <c r="S191" s="11">
        <f>IF(AG191="1",H191,0)</f>
        <v>0</v>
      </c>
      <c r="T191" s="11">
        <f>IF(AG191="7",G191,0)</f>
        <v>0</v>
      </c>
      <c r="U191" s="11">
        <f>IF(AG191="7",H191,0)</f>
        <v>0</v>
      </c>
      <c r="V191" s="11">
        <f>IF(AG191="2",G191,0)</f>
        <v>0</v>
      </c>
      <c r="W191" s="11">
        <f>IF(AG191="2",H191,0)</f>
        <v>0</v>
      </c>
      <c r="X191" s="11">
        <f>IF(AG191="0",I191,0)</f>
        <v>0</v>
      </c>
      <c r="Y191" s="6"/>
      <c r="Z191" s="4">
        <f>IF(AD191=0,I191,0)</f>
        <v>0</v>
      </c>
      <c r="AA191" s="4">
        <f>IF(AD191=15,I191,0)</f>
        <v>0</v>
      </c>
      <c r="AB191" s="4">
        <f>IF(AD191=21,I191,0)</f>
        <v>0</v>
      </c>
      <c r="AD191" s="11">
        <v>21</v>
      </c>
      <c r="AE191" s="11">
        <f>F191*0</f>
        <v>0</v>
      </c>
      <c r="AF191" s="11">
        <f>F191*(1-0)</f>
        <v>0</v>
      </c>
      <c r="AG191" s="7" t="s">
        <v>498</v>
      </c>
      <c r="AM191" s="11">
        <f>E191*AE191</f>
        <v>0</v>
      </c>
      <c r="AN191" s="11">
        <f>E191*AF191</f>
        <v>0</v>
      </c>
      <c r="AO191" s="12" t="s">
        <v>191</v>
      </c>
      <c r="AP191" s="12" t="s">
        <v>225</v>
      </c>
      <c r="AQ191" s="6" t="s">
        <v>234</v>
      </c>
      <c r="AS191" s="11">
        <f>AM191+AN191</f>
        <v>0</v>
      </c>
      <c r="AT191" s="11">
        <f>F191/(100-AU191)*100</f>
        <v>0</v>
      </c>
      <c r="AU191" s="11">
        <v>0</v>
      </c>
      <c r="AV191" s="11">
        <f>K191</f>
        <v>0</v>
      </c>
    </row>
    <row r="192" spans="1:14" ht="12.75">
      <c r="A192" s="39"/>
      <c r="B192" s="39"/>
      <c r="C192" s="63" t="s">
        <v>1428</v>
      </c>
      <c r="D192" s="39"/>
      <c r="E192" s="64">
        <v>6.77</v>
      </c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1:14" ht="12.75">
      <c r="A193" s="39"/>
      <c r="B193" s="39"/>
      <c r="C193" s="63" t="s">
        <v>1429</v>
      </c>
      <c r="D193" s="39"/>
      <c r="E193" s="64">
        <v>250.703</v>
      </c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1:48" ht="12.75">
      <c r="A194" s="59" t="s">
        <v>572</v>
      </c>
      <c r="B194" s="59" t="s">
        <v>945</v>
      </c>
      <c r="C194" s="59" t="s">
        <v>1430</v>
      </c>
      <c r="D194" s="59" t="s">
        <v>142</v>
      </c>
      <c r="E194" s="60">
        <v>257.473</v>
      </c>
      <c r="F194" s="61"/>
      <c r="G194" s="61">
        <f>E194*AE194</f>
        <v>0</v>
      </c>
      <c r="H194" s="61">
        <f>I194-G194</f>
        <v>0</v>
      </c>
      <c r="I194" s="61">
        <f>E194*F194</f>
        <v>0</v>
      </c>
      <c r="J194" s="61">
        <v>0.00483</v>
      </c>
      <c r="K194" s="61">
        <f>E194*J194</f>
        <v>1.24359459</v>
      </c>
      <c r="L194" s="62" t="s">
        <v>170</v>
      </c>
      <c r="M194" s="39"/>
      <c r="N194" s="39"/>
      <c r="P194" s="11">
        <f>IF(AG194="5",I194,0)</f>
        <v>0</v>
      </c>
      <c r="R194" s="11">
        <f>IF(AG194="1",G194,0)</f>
        <v>0</v>
      </c>
      <c r="S194" s="11">
        <f>IF(AG194="1",H194,0)</f>
        <v>0</v>
      </c>
      <c r="T194" s="11">
        <f>IF(AG194="7",G194,0)</f>
        <v>0</v>
      </c>
      <c r="U194" s="11">
        <f>IF(AG194="7",H194,0)</f>
        <v>0</v>
      </c>
      <c r="V194" s="11">
        <f>IF(AG194="2",G194,0)</f>
        <v>0</v>
      </c>
      <c r="W194" s="11">
        <f>IF(AG194="2",H194,0)</f>
        <v>0</v>
      </c>
      <c r="X194" s="11">
        <f>IF(AG194="0",I194,0)</f>
        <v>0</v>
      </c>
      <c r="Y194" s="6"/>
      <c r="Z194" s="4">
        <f>IF(AD194=0,I194,0)</f>
        <v>0</v>
      </c>
      <c r="AA194" s="4">
        <f>IF(AD194=15,I194,0)</f>
        <v>0</v>
      </c>
      <c r="AB194" s="4">
        <f>IF(AD194=21,I194,0)</f>
        <v>0</v>
      </c>
      <c r="AD194" s="11">
        <v>21</v>
      </c>
      <c r="AE194" s="11">
        <f>F194*0.201155555555556</f>
        <v>0</v>
      </c>
      <c r="AF194" s="11">
        <f>F194*(1-0.201155555555556)</f>
        <v>0</v>
      </c>
      <c r="AG194" s="7" t="s">
        <v>498</v>
      </c>
      <c r="AM194" s="11">
        <f>E194*AE194</f>
        <v>0</v>
      </c>
      <c r="AN194" s="11">
        <f>E194*AF194</f>
        <v>0</v>
      </c>
      <c r="AO194" s="12" t="s">
        <v>191</v>
      </c>
      <c r="AP194" s="12" t="s">
        <v>225</v>
      </c>
      <c r="AQ194" s="6" t="s">
        <v>234</v>
      </c>
      <c r="AS194" s="11">
        <f>AM194+AN194</f>
        <v>0</v>
      </c>
      <c r="AT194" s="11">
        <f>F194/(100-AU194)*100</f>
        <v>0</v>
      </c>
      <c r="AU194" s="11">
        <v>0</v>
      </c>
      <c r="AV194" s="11">
        <f>K194</f>
        <v>1.24359459</v>
      </c>
    </row>
    <row r="195" spans="1:14" ht="12.75">
      <c r="A195" s="39"/>
      <c r="B195" s="39"/>
      <c r="C195" s="63" t="s">
        <v>1428</v>
      </c>
      <c r="D195" s="39"/>
      <c r="E195" s="64">
        <v>6.77</v>
      </c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1:14" ht="12.75">
      <c r="A196" s="39"/>
      <c r="B196" s="39"/>
      <c r="C196" s="63" t="s">
        <v>1429</v>
      </c>
      <c r="D196" s="39"/>
      <c r="E196" s="64">
        <v>250.703</v>
      </c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1:48" ht="12.75">
      <c r="A197" s="59" t="s">
        <v>573</v>
      </c>
      <c r="B197" s="59" t="s">
        <v>946</v>
      </c>
      <c r="C197" s="59" t="s">
        <v>1431</v>
      </c>
      <c r="D197" s="59" t="s">
        <v>142</v>
      </c>
      <c r="E197" s="60">
        <v>250.703</v>
      </c>
      <c r="F197" s="61"/>
      <c r="G197" s="61">
        <f>E197*AE197</f>
        <v>0</v>
      </c>
      <c r="H197" s="61">
        <f>I197-G197</f>
        <v>0</v>
      </c>
      <c r="I197" s="61">
        <f>E197*F197</f>
        <v>0</v>
      </c>
      <c r="J197" s="61">
        <v>0.04114</v>
      </c>
      <c r="K197" s="61">
        <f>E197*J197</f>
        <v>10.313921420000002</v>
      </c>
      <c r="L197" s="62" t="s">
        <v>170</v>
      </c>
      <c r="M197" s="39"/>
      <c r="N197" s="39"/>
      <c r="P197" s="11">
        <f>IF(AG197="5",I197,0)</f>
        <v>0</v>
      </c>
      <c r="R197" s="11">
        <f>IF(AG197="1",G197,0)</f>
        <v>0</v>
      </c>
      <c r="S197" s="11">
        <f>IF(AG197="1",H197,0)</f>
        <v>0</v>
      </c>
      <c r="T197" s="11">
        <f>IF(AG197="7",G197,0)</f>
        <v>0</v>
      </c>
      <c r="U197" s="11">
        <f>IF(AG197="7",H197,0)</f>
        <v>0</v>
      </c>
      <c r="V197" s="11">
        <f>IF(AG197="2",G197,0)</f>
        <v>0</v>
      </c>
      <c r="W197" s="11">
        <f>IF(AG197="2",H197,0)</f>
        <v>0</v>
      </c>
      <c r="X197" s="11">
        <f>IF(AG197="0",I197,0)</f>
        <v>0</v>
      </c>
      <c r="Y197" s="6"/>
      <c r="Z197" s="4">
        <f>IF(AD197=0,I197,0)</f>
        <v>0</v>
      </c>
      <c r="AA197" s="4">
        <f>IF(AD197=15,I197,0)</f>
        <v>0</v>
      </c>
      <c r="AB197" s="4">
        <f>IF(AD197=21,I197,0)</f>
        <v>0</v>
      </c>
      <c r="AD197" s="11">
        <v>21</v>
      </c>
      <c r="AE197" s="11">
        <f>F197*0.684513108614232</f>
        <v>0</v>
      </c>
      <c r="AF197" s="11">
        <f>F197*(1-0.684513108614232)</f>
        <v>0</v>
      </c>
      <c r="AG197" s="7" t="s">
        <v>498</v>
      </c>
      <c r="AM197" s="11">
        <f>E197*AE197</f>
        <v>0</v>
      </c>
      <c r="AN197" s="11">
        <f>E197*AF197</f>
        <v>0</v>
      </c>
      <c r="AO197" s="12" t="s">
        <v>191</v>
      </c>
      <c r="AP197" s="12" t="s">
        <v>225</v>
      </c>
      <c r="AQ197" s="6" t="s">
        <v>234</v>
      </c>
      <c r="AS197" s="11">
        <f>AM197+AN197</f>
        <v>0</v>
      </c>
      <c r="AT197" s="11">
        <f>F197/(100-AU197)*100</f>
        <v>0</v>
      </c>
      <c r="AU197" s="11">
        <v>0</v>
      </c>
      <c r="AV197" s="11">
        <f>K197</f>
        <v>10.313921420000002</v>
      </c>
    </row>
    <row r="198" spans="1:14" ht="12.75">
      <c r="A198" s="39"/>
      <c r="B198" s="39"/>
      <c r="C198" s="63" t="s">
        <v>1429</v>
      </c>
      <c r="D198" s="39"/>
      <c r="E198" s="64">
        <v>250.703</v>
      </c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48" ht="12.75">
      <c r="A199" s="59" t="s">
        <v>574</v>
      </c>
      <c r="B199" s="59" t="s">
        <v>947</v>
      </c>
      <c r="C199" s="59" t="s">
        <v>1432</v>
      </c>
      <c r="D199" s="59" t="s">
        <v>142</v>
      </c>
      <c r="E199" s="60">
        <v>6.77</v>
      </c>
      <c r="F199" s="61"/>
      <c r="G199" s="61">
        <f>E199*AE199</f>
        <v>0</v>
      </c>
      <c r="H199" s="61">
        <f>I199-G199</f>
        <v>0</v>
      </c>
      <c r="I199" s="61">
        <f>E199*F199</f>
        <v>0</v>
      </c>
      <c r="J199" s="61">
        <v>0.01856</v>
      </c>
      <c r="K199" s="61">
        <f>E199*J199</f>
        <v>0.1256512</v>
      </c>
      <c r="L199" s="62" t="s">
        <v>170</v>
      </c>
      <c r="M199" s="39"/>
      <c r="N199" s="39"/>
      <c r="P199" s="11">
        <f>IF(AG199="5",I199,0)</f>
        <v>0</v>
      </c>
      <c r="R199" s="11">
        <f>IF(AG199="1",G199,0)</f>
        <v>0</v>
      </c>
      <c r="S199" s="11">
        <f>IF(AG199="1",H199,0)</f>
        <v>0</v>
      </c>
      <c r="T199" s="11">
        <f>IF(AG199="7",G199,0)</f>
        <v>0</v>
      </c>
      <c r="U199" s="11">
        <f>IF(AG199="7",H199,0)</f>
        <v>0</v>
      </c>
      <c r="V199" s="11">
        <f>IF(AG199="2",G199,0)</f>
        <v>0</v>
      </c>
      <c r="W199" s="11">
        <f>IF(AG199="2",H199,0)</f>
        <v>0</v>
      </c>
      <c r="X199" s="11">
        <f>IF(AG199="0",I199,0)</f>
        <v>0</v>
      </c>
      <c r="Y199" s="6"/>
      <c r="Z199" s="4">
        <f>IF(AD199=0,I199,0)</f>
        <v>0</v>
      </c>
      <c r="AA199" s="4">
        <f>IF(AD199=15,I199,0)</f>
        <v>0</v>
      </c>
      <c r="AB199" s="4">
        <f>IF(AD199=21,I199,0)</f>
        <v>0</v>
      </c>
      <c r="AD199" s="11">
        <v>21</v>
      </c>
      <c r="AE199" s="11">
        <f>F199*0.673050108932462</f>
        <v>0</v>
      </c>
      <c r="AF199" s="11">
        <f>F199*(1-0.673050108932462)</f>
        <v>0</v>
      </c>
      <c r="AG199" s="7" t="s">
        <v>498</v>
      </c>
      <c r="AM199" s="11">
        <f>E199*AE199</f>
        <v>0</v>
      </c>
      <c r="AN199" s="11">
        <f>E199*AF199</f>
        <v>0</v>
      </c>
      <c r="AO199" s="12" t="s">
        <v>191</v>
      </c>
      <c r="AP199" s="12" t="s">
        <v>225</v>
      </c>
      <c r="AQ199" s="6" t="s">
        <v>234</v>
      </c>
      <c r="AS199" s="11">
        <f>AM199+AN199</f>
        <v>0</v>
      </c>
      <c r="AT199" s="11">
        <f>F199/(100-AU199)*100</f>
        <v>0</v>
      </c>
      <c r="AU199" s="11">
        <v>0</v>
      </c>
      <c r="AV199" s="11">
        <f>K199</f>
        <v>0.1256512</v>
      </c>
    </row>
    <row r="200" spans="1:14" ht="12.75">
      <c r="A200" s="39"/>
      <c r="B200" s="39"/>
      <c r="C200" s="63" t="s">
        <v>1428</v>
      </c>
      <c r="D200" s="39"/>
      <c r="E200" s="64">
        <v>6.77</v>
      </c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1:48" ht="12.75">
      <c r="A201" s="59" t="s">
        <v>575</v>
      </c>
      <c r="B201" s="59" t="s">
        <v>948</v>
      </c>
      <c r="C201" s="59" t="s">
        <v>1433</v>
      </c>
      <c r="D201" s="59" t="s">
        <v>142</v>
      </c>
      <c r="E201" s="60">
        <v>8.505</v>
      </c>
      <c r="F201" s="61"/>
      <c r="G201" s="61">
        <f>E201*AE201</f>
        <v>0</v>
      </c>
      <c r="H201" s="61">
        <f>I201-G201</f>
        <v>0</v>
      </c>
      <c r="I201" s="61">
        <f>E201*F201</f>
        <v>0</v>
      </c>
      <c r="J201" s="61">
        <v>0.01253</v>
      </c>
      <c r="K201" s="61">
        <f>E201*J201</f>
        <v>0.10656765</v>
      </c>
      <c r="L201" s="62" t="s">
        <v>170</v>
      </c>
      <c r="M201" s="39"/>
      <c r="N201" s="39"/>
      <c r="P201" s="11">
        <f>IF(AG201="5",I201,0)</f>
        <v>0</v>
      </c>
      <c r="R201" s="11">
        <f>IF(AG201="1",G201,0)</f>
        <v>0</v>
      </c>
      <c r="S201" s="11">
        <f>IF(AG201="1",H201,0)</f>
        <v>0</v>
      </c>
      <c r="T201" s="11">
        <f>IF(AG201="7",G201,0)</f>
        <v>0</v>
      </c>
      <c r="U201" s="11">
        <f>IF(AG201="7",H201,0)</f>
        <v>0</v>
      </c>
      <c r="V201" s="11">
        <f>IF(AG201="2",G201,0)</f>
        <v>0</v>
      </c>
      <c r="W201" s="11">
        <f>IF(AG201="2",H201,0)</f>
        <v>0</v>
      </c>
      <c r="X201" s="11">
        <f>IF(AG201="0",I201,0)</f>
        <v>0</v>
      </c>
      <c r="Y201" s="6"/>
      <c r="Z201" s="4">
        <f>IF(AD201=0,I201,0)</f>
        <v>0</v>
      </c>
      <c r="AA201" s="4">
        <f>IF(AD201=15,I201,0)</f>
        <v>0</v>
      </c>
      <c r="AB201" s="4">
        <f>IF(AD201=21,I201,0)</f>
        <v>0</v>
      </c>
      <c r="AD201" s="11">
        <v>21</v>
      </c>
      <c r="AE201" s="11">
        <f>F201*0.658137931034483</f>
        <v>0</v>
      </c>
      <c r="AF201" s="11">
        <f>F201*(1-0.658137931034483)</f>
        <v>0</v>
      </c>
      <c r="AG201" s="7" t="s">
        <v>498</v>
      </c>
      <c r="AM201" s="11">
        <f>E201*AE201</f>
        <v>0</v>
      </c>
      <c r="AN201" s="11">
        <f>E201*AF201</f>
        <v>0</v>
      </c>
      <c r="AO201" s="12" t="s">
        <v>191</v>
      </c>
      <c r="AP201" s="12" t="s">
        <v>225</v>
      </c>
      <c r="AQ201" s="6" t="s">
        <v>234</v>
      </c>
      <c r="AS201" s="11">
        <f>AM201+AN201</f>
        <v>0</v>
      </c>
      <c r="AT201" s="11">
        <f>F201/(100-AU201)*100</f>
        <v>0</v>
      </c>
      <c r="AU201" s="11">
        <v>0</v>
      </c>
      <c r="AV201" s="11">
        <f>K201</f>
        <v>0.10656765</v>
      </c>
    </row>
    <row r="202" spans="1:14" ht="12.75">
      <c r="A202" s="39"/>
      <c r="B202" s="39"/>
      <c r="C202" s="63" t="s">
        <v>1434</v>
      </c>
      <c r="D202" s="39"/>
      <c r="E202" s="64">
        <v>8.505</v>
      </c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1:48" ht="12.75">
      <c r="A203" s="59" t="s">
        <v>576</v>
      </c>
      <c r="B203" s="59" t="s">
        <v>949</v>
      </c>
      <c r="C203" s="59" t="s">
        <v>1435</v>
      </c>
      <c r="D203" s="59" t="s">
        <v>142</v>
      </c>
      <c r="E203" s="60">
        <v>19.869</v>
      </c>
      <c r="F203" s="61"/>
      <c r="G203" s="61">
        <f>E203*AE203</f>
        <v>0</v>
      </c>
      <c r="H203" s="61">
        <f>I203-G203</f>
        <v>0</v>
      </c>
      <c r="I203" s="61">
        <f>E203*F203</f>
        <v>0</v>
      </c>
      <c r="J203" s="61">
        <v>0.01048</v>
      </c>
      <c r="K203" s="61">
        <f>E203*J203</f>
        <v>0.20822712</v>
      </c>
      <c r="L203" s="62" t="s">
        <v>170</v>
      </c>
      <c r="M203" s="39"/>
      <c r="N203" s="39"/>
      <c r="P203" s="11">
        <f>IF(AG203="5",I203,0)</f>
        <v>0</v>
      </c>
      <c r="R203" s="11">
        <f>IF(AG203="1",G203,0)</f>
        <v>0</v>
      </c>
      <c r="S203" s="11">
        <f>IF(AG203="1",H203,0)</f>
        <v>0</v>
      </c>
      <c r="T203" s="11">
        <f>IF(AG203="7",G203,0)</f>
        <v>0</v>
      </c>
      <c r="U203" s="11">
        <f>IF(AG203="7",H203,0)</f>
        <v>0</v>
      </c>
      <c r="V203" s="11">
        <f>IF(AG203="2",G203,0)</f>
        <v>0</v>
      </c>
      <c r="W203" s="11">
        <f>IF(AG203="2",H203,0)</f>
        <v>0</v>
      </c>
      <c r="X203" s="11">
        <f>IF(AG203="0",I203,0)</f>
        <v>0</v>
      </c>
      <c r="Y203" s="6"/>
      <c r="Z203" s="4">
        <f>IF(AD203=0,I203,0)</f>
        <v>0</v>
      </c>
      <c r="AA203" s="4">
        <f>IF(AD203=15,I203,0)</f>
        <v>0</v>
      </c>
      <c r="AB203" s="4">
        <f>IF(AD203=21,I203,0)</f>
        <v>0</v>
      </c>
      <c r="AD203" s="11">
        <v>21</v>
      </c>
      <c r="AE203" s="11">
        <f>F203*0.443042919338916</f>
        <v>0</v>
      </c>
      <c r="AF203" s="11">
        <f>F203*(1-0.443042919338916)</f>
        <v>0</v>
      </c>
      <c r="AG203" s="7" t="s">
        <v>498</v>
      </c>
      <c r="AM203" s="11">
        <f>E203*AE203</f>
        <v>0</v>
      </c>
      <c r="AN203" s="11">
        <f>E203*AF203</f>
        <v>0</v>
      </c>
      <c r="AO203" s="12" t="s">
        <v>191</v>
      </c>
      <c r="AP203" s="12" t="s">
        <v>225</v>
      </c>
      <c r="AQ203" s="6" t="s">
        <v>234</v>
      </c>
      <c r="AS203" s="11">
        <f>AM203+AN203</f>
        <v>0</v>
      </c>
      <c r="AT203" s="11">
        <f>F203/(100-AU203)*100</f>
        <v>0</v>
      </c>
      <c r="AU203" s="11">
        <v>0</v>
      </c>
      <c r="AV203" s="11">
        <f>K203</f>
        <v>0.20822712</v>
      </c>
    </row>
    <row r="204" spans="1:14" ht="12.75">
      <c r="A204" s="39"/>
      <c r="B204" s="39"/>
      <c r="C204" s="63" t="s">
        <v>1436</v>
      </c>
      <c r="D204" s="39"/>
      <c r="E204" s="64">
        <v>19.869</v>
      </c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1:48" ht="12.75">
      <c r="A205" s="59" t="s">
        <v>577</v>
      </c>
      <c r="B205" s="59" t="s">
        <v>950</v>
      </c>
      <c r="C205" s="59" t="s">
        <v>1437</v>
      </c>
      <c r="D205" s="59" t="s">
        <v>142</v>
      </c>
      <c r="E205" s="60">
        <v>50.002</v>
      </c>
      <c r="F205" s="61"/>
      <c r="G205" s="61">
        <f>E205*AE205</f>
        <v>0</v>
      </c>
      <c r="H205" s="61">
        <f>I205-G205</f>
        <v>0</v>
      </c>
      <c r="I205" s="61">
        <f>E205*F205</f>
        <v>0</v>
      </c>
      <c r="J205" s="61">
        <v>0.00031</v>
      </c>
      <c r="K205" s="61">
        <f>E205*J205</f>
        <v>0.015500620000000001</v>
      </c>
      <c r="L205" s="62" t="s">
        <v>170</v>
      </c>
      <c r="M205" s="39"/>
      <c r="N205" s="39"/>
      <c r="P205" s="11">
        <f>IF(AG205="5",I205,0)</f>
        <v>0</v>
      </c>
      <c r="R205" s="11">
        <f>IF(AG205="1",G205,0)</f>
        <v>0</v>
      </c>
      <c r="S205" s="11">
        <f>IF(AG205="1",H205,0)</f>
        <v>0</v>
      </c>
      <c r="T205" s="11">
        <f>IF(AG205="7",G205,0)</f>
        <v>0</v>
      </c>
      <c r="U205" s="11">
        <f>IF(AG205="7",H205,0)</f>
        <v>0</v>
      </c>
      <c r="V205" s="11">
        <f>IF(AG205="2",G205,0)</f>
        <v>0</v>
      </c>
      <c r="W205" s="11">
        <f>IF(AG205="2",H205,0)</f>
        <v>0</v>
      </c>
      <c r="X205" s="11">
        <f>IF(AG205="0",I205,0)</f>
        <v>0</v>
      </c>
      <c r="Y205" s="6"/>
      <c r="Z205" s="4">
        <f>IF(AD205=0,I205,0)</f>
        <v>0</v>
      </c>
      <c r="AA205" s="4">
        <f>IF(AD205=15,I205,0)</f>
        <v>0</v>
      </c>
      <c r="AB205" s="4">
        <f>IF(AD205=21,I205,0)</f>
        <v>0</v>
      </c>
      <c r="AD205" s="11">
        <v>21</v>
      </c>
      <c r="AE205" s="11">
        <f>F205*0.363306451612903</f>
        <v>0</v>
      </c>
      <c r="AF205" s="11">
        <f>F205*(1-0.363306451612903)</f>
        <v>0</v>
      </c>
      <c r="AG205" s="7" t="s">
        <v>498</v>
      </c>
      <c r="AM205" s="11">
        <f>E205*AE205</f>
        <v>0</v>
      </c>
      <c r="AN205" s="11">
        <f>E205*AF205</f>
        <v>0</v>
      </c>
      <c r="AO205" s="12" t="s">
        <v>191</v>
      </c>
      <c r="AP205" s="12" t="s">
        <v>225</v>
      </c>
      <c r="AQ205" s="6" t="s">
        <v>234</v>
      </c>
      <c r="AS205" s="11">
        <f>AM205+AN205</f>
        <v>0</v>
      </c>
      <c r="AT205" s="11">
        <f>F205/(100-AU205)*100</f>
        <v>0</v>
      </c>
      <c r="AU205" s="11">
        <v>0</v>
      </c>
      <c r="AV205" s="11">
        <f>K205</f>
        <v>0.015500620000000001</v>
      </c>
    </row>
    <row r="206" spans="1:14" ht="12.75">
      <c r="A206" s="39"/>
      <c r="B206" s="39"/>
      <c r="C206" s="63" t="s">
        <v>1438</v>
      </c>
      <c r="D206" s="39"/>
      <c r="E206" s="64">
        <v>19.869</v>
      </c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1:14" ht="12.75">
      <c r="A207" s="39"/>
      <c r="B207" s="39"/>
      <c r="C207" s="63" t="s">
        <v>1439</v>
      </c>
      <c r="D207" s="39"/>
      <c r="E207" s="64">
        <v>30.133</v>
      </c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1:48" ht="12.75">
      <c r="A208" s="70" t="s">
        <v>578</v>
      </c>
      <c r="B208" s="70" t="s">
        <v>951</v>
      </c>
      <c r="C208" s="70" t="s">
        <v>1440</v>
      </c>
      <c r="D208" s="70" t="s">
        <v>142</v>
      </c>
      <c r="E208" s="71">
        <v>20.862</v>
      </c>
      <c r="F208" s="72"/>
      <c r="G208" s="72">
        <f>E208*AE208</f>
        <v>0</v>
      </c>
      <c r="H208" s="72">
        <f>I208-G208</f>
        <v>0</v>
      </c>
      <c r="I208" s="72">
        <f>E208*F208</f>
        <v>0</v>
      </c>
      <c r="J208" s="72">
        <v>0.0014</v>
      </c>
      <c r="K208" s="72">
        <f>E208*J208</f>
        <v>0.029206799999999998</v>
      </c>
      <c r="L208" s="73" t="s">
        <v>170</v>
      </c>
      <c r="M208" s="39"/>
      <c r="N208" s="39"/>
      <c r="P208" s="11">
        <f>IF(AG208="5",I208,0)</f>
        <v>0</v>
      </c>
      <c r="R208" s="11">
        <f>IF(AG208="1",G208,0)</f>
        <v>0</v>
      </c>
      <c r="S208" s="11">
        <f>IF(AG208="1",H208,0)</f>
        <v>0</v>
      </c>
      <c r="T208" s="11">
        <f>IF(AG208="7",G208,0)</f>
        <v>0</v>
      </c>
      <c r="U208" s="11">
        <f>IF(AG208="7",H208,0)</f>
        <v>0</v>
      </c>
      <c r="V208" s="11">
        <f>IF(AG208="2",G208,0)</f>
        <v>0</v>
      </c>
      <c r="W208" s="11">
        <f>IF(AG208="2",H208,0)</f>
        <v>0</v>
      </c>
      <c r="X208" s="11">
        <f>IF(AG208="0",I208,0)</f>
        <v>0</v>
      </c>
      <c r="Y208" s="6"/>
      <c r="Z208" s="5">
        <f>IF(AD208=0,I208,0)</f>
        <v>0</v>
      </c>
      <c r="AA208" s="5">
        <f>IF(AD208=15,I208,0)</f>
        <v>0</v>
      </c>
      <c r="AB208" s="5">
        <f>IF(AD208=21,I208,0)</f>
        <v>0</v>
      </c>
      <c r="AD208" s="11">
        <v>21</v>
      </c>
      <c r="AE208" s="11">
        <f>F208*1</f>
        <v>0</v>
      </c>
      <c r="AF208" s="11">
        <f>F208*(1-1)</f>
        <v>0</v>
      </c>
      <c r="AG208" s="8" t="s">
        <v>498</v>
      </c>
      <c r="AM208" s="11">
        <f>E208*AE208</f>
        <v>0</v>
      </c>
      <c r="AN208" s="11">
        <f>E208*AF208</f>
        <v>0</v>
      </c>
      <c r="AO208" s="12" t="s">
        <v>191</v>
      </c>
      <c r="AP208" s="12" t="s">
        <v>225</v>
      </c>
      <c r="AQ208" s="6" t="s">
        <v>234</v>
      </c>
      <c r="AS208" s="11">
        <f>AM208+AN208</f>
        <v>0</v>
      </c>
      <c r="AT208" s="11">
        <f>F208/(100-AU208)*100</f>
        <v>0</v>
      </c>
      <c r="AU208" s="11">
        <v>0</v>
      </c>
      <c r="AV208" s="11">
        <f>K208</f>
        <v>0.029206799999999998</v>
      </c>
    </row>
    <row r="209" spans="1:14" ht="12.75">
      <c r="A209" s="39"/>
      <c r="B209" s="39"/>
      <c r="C209" s="63" t="s">
        <v>1441</v>
      </c>
      <c r="D209" s="39"/>
      <c r="E209" s="64">
        <v>19.869</v>
      </c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1:14" ht="12.75">
      <c r="A210" s="39"/>
      <c r="B210" s="39"/>
      <c r="C210" s="63" t="s">
        <v>1442</v>
      </c>
      <c r="D210" s="39"/>
      <c r="E210" s="64">
        <v>0.993</v>
      </c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1:48" ht="12.75">
      <c r="A211" s="70" t="s">
        <v>579</v>
      </c>
      <c r="B211" s="70" t="s">
        <v>952</v>
      </c>
      <c r="C211" s="70" t="s">
        <v>1443</v>
      </c>
      <c r="D211" s="70" t="s">
        <v>142</v>
      </c>
      <c r="E211" s="71">
        <v>31.64</v>
      </c>
      <c r="F211" s="72"/>
      <c r="G211" s="72">
        <f>E211*AE211</f>
        <v>0</v>
      </c>
      <c r="H211" s="72">
        <f>I211-G211</f>
        <v>0</v>
      </c>
      <c r="I211" s="72">
        <f>E211*F211</f>
        <v>0</v>
      </c>
      <c r="J211" s="72">
        <v>0.007</v>
      </c>
      <c r="K211" s="72">
        <f>E211*J211</f>
        <v>0.22148</v>
      </c>
      <c r="L211" s="73" t="s">
        <v>170</v>
      </c>
      <c r="M211" s="39"/>
      <c r="N211" s="39"/>
      <c r="P211" s="11">
        <f>IF(AG211="5",I211,0)</f>
        <v>0</v>
      </c>
      <c r="R211" s="11">
        <f>IF(AG211="1",G211,0)</f>
        <v>0</v>
      </c>
      <c r="S211" s="11">
        <f>IF(AG211="1",H211,0)</f>
        <v>0</v>
      </c>
      <c r="T211" s="11">
        <f>IF(AG211="7",G211,0)</f>
        <v>0</v>
      </c>
      <c r="U211" s="11">
        <f>IF(AG211="7",H211,0)</f>
        <v>0</v>
      </c>
      <c r="V211" s="11">
        <f>IF(AG211="2",G211,0)</f>
        <v>0</v>
      </c>
      <c r="W211" s="11">
        <f>IF(AG211="2",H211,0)</f>
        <v>0</v>
      </c>
      <c r="X211" s="11">
        <f>IF(AG211="0",I211,0)</f>
        <v>0</v>
      </c>
      <c r="Y211" s="6"/>
      <c r="Z211" s="5">
        <f>IF(AD211=0,I211,0)</f>
        <v>0</v>
      </c>
      <c r="AA211" s="5">
        <f>IF(AD211=15,I211,0)</f>
        <v>0</v>
      </c>
      <c r="AB211" s="5">
        <f>IF(AD211=21,I211,0)</f>
        <v>0</v>
      </c>
      <c r="AD211" s="11">
        <v>21</v>
      </c>
      <c r="AE211" s="11">
        <f>F211*1</f>
        <v>0</v>
      </c>
      <c r="AF211" s="11">
        <f>F211*(1-1)</f>
        <v>0</v>
      </c>
      <c r="AG211" s="8" t="s">
        <v>498</v>
      </c>
      <c r="AM211" s="11">
        <f>E211*AE211</f>
        <v>0</v>
      </c>
      <c r="AN211" s="11">
        <f>E211*AF211</f>
        <v>0</v>
      </c>
      <c r="AO211" s="12" t="s">
        <v>191</v>
      </c>
      <c r="AP211" s="12" t="s">
        <v>225</v>
      </c>
      <c r="AQ211" s="6" t="s">
        <v>234</v>
      </c>
      <c r="AS211" s="11">
        <f>AM211+AN211</f>
        <v>0</v>
      </c>
      <c r="AT211" s="11">
        <f>F211/(100-AU211)*100</f>
        <v>0</v>
      </c>
      <c r="AU211" s="11">
        <v>0</v>
      </c>
      <c r="AV211" s="11">
        <f>K211</f>
        <v>0.22148</v>
      </c>
    </row>
    <row r="212" spans="1:14" ht="12.75">
      <c r="A212" s="39"/>
      <c r="B212" s="39"/>
      <c r="C212" s="63" t="s">
        <v>1444</v>
      </c>
      <c r="D212" s="39"/>
      <c r="E212" s="64">
        <v>30.133</v>
      </c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1:14" ht="12.75">
      <c r="A213" s="39"/>
      <c r="B213" s="39"/>
      <c r="C213" s="63" t="s">
        <v>1445</v>
      </c>
      <c r="D213" s="39"/>
      <c r="E213" s="64">
        <v>1.507</v>
      </c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1:48" ht="12.75">
      <c r="A214" s="59" t="s">
        <v>580</v>
      </c>
      <c r="B214" s="59" t="s">
        <v>953</v>
      </c>
      <c r="C214" s="59" t="s">
        <v>1446</v>
      </c>
      <c r="D214" s="59" t="s">
        <v>146</v>
      </c>
      <c r="E214" s="60">
        <v>76.42</v>
      </c>
      <c r="F214" s="61"/>
      <c r="G214" s="61">
        <f>E214*AE214</f>
        <v>0</v>
      </c>
      <c r="H214" s="61">
        <f>I214-G214</f>
        <v>0</v>
      </c>
      <c r="I214" s="61">
        <f>E214*F214</f>
        <v>0</v>
      </c>
      <c r="J214" s="61">
        <v>0.00023</v>
      </c>
      <c r="K214" s="61">
        <f>E214*J214</f>
        <v>0.0175766</v>
      </c>
      <c r="L214" s="62" t="s">
        <v>170</v>
      </c>
      <c r="M214" s="39"/>
      <c r="N214" s="39"/>
      <c r="P214" s="11">
        <f>IF(AG214="5",I214,0)</f>
        <v>0</v>
      </c>
      <c r="R214" s="11">
        <f>IF(AG214="1",G214,0)</f>
        <v>0</v>
      </c>
      <c r="S214" s="11">
        <f>IF(AG214="1",H214,0)</f>
        <v>0</v>
      </c>
      <c r="T214" s="11">
        <f>IF(AG214="7",G214,0)</f>
        <v>0</v>
      </c>
      <c r="U214" s="11">
        <f>IF(AG214="7",H214,0)</f>
        <v>0</v>
      </c>
      <c r="V214" s="11">
        <f>IF(AG214="2",G214,0)</f>
        <v>0</v>
      </c>
      <c r="W214" s="11">
        <f>IF(AG214="2",H214,0)</f>
        <v>0</v>
      </c>
      <c r="X214" s="11">
        <f>IF(AG214="0",I214,0)</f>
        <v>0</v>
      </c>
      <c r="Y214" s="6"/>
      <c r="Z214" s="4">
        <f>IF(AD214=0,I214,0)</f>
        <v>0</v>
      </c>
      <c r="AA214" s="4">
        <f>IF(AD214=15,I214,0)</f>
        <v>0</v>
      </c>
      <c r="AB214" s="4">
        <f>IF(AD214=21,I214,0)</f>
        <v>0</v>
      </c>
      <c r="AD214" s="11">
        <v>21</v>
      </c>
      <c r="AE214" s="11">
        <f>F214*0.731732596303334</f>
        <v>0</v>
      </c>
      <c r="AF214" s="11">
        <f>F214*(1-0.731732596303334)</f>
        <v>0</v>
      </c>
      <c r="AG214" s="7" t="s">
        <v>498</v>
      </c>
      <c r="AM214" s="11">
        <f>E214*AE214</f>
        <v>0</v>
      </c>
      <c r="AN214" s="11">
        <f>E214*AF214</f>
        <v>0</v>
      </c>
      <c r="AO214" s="12" t="s">
        <v>191</v>
      </c>
      <c r="AP214" s="12" t="s">
        <v>225</v>
      </c>
      <c r="AQ214" s="6" t="s">
        <v>234</v>
      </c>
      <c r="AS214" s="11">
        <f>AM214+AN214</f>
        <v>0</v>
      </c>
      <c r="AT214" s="11">
        <f>F214/(100-AU214)*100</f>
        <v>0</v>
      </c>
      <c r="AU214" s="11">
        <v>0</v>
      </c>
      <c r="AV214" s="11">
        <f>K214</f>
        <v>0.0175766</v>
      </c>
    </row>
    <row r="215" spans="1:14" ht="12.75">
      <c r="A215" s="39"/>
      <c r="B215" s="39"/>
      <c r="C215" s="63" t="s">
        <v>1424</v>
      </c>
      <c r="D215" s="39"/>
      <c r="E215" s="64">
        <v>76.42</v>
      </c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1:48" ht="12.75">
      <c r="A216" s="59" t="s">
        <v>581</v>
      </c>
      <c r="B216" s="59" t="s">
        <v>954</v>
      </c>
      <c r="C216" s="59" t="s">
        <v>1447</v>
      </c>
      <c r="D216" s="59" t="s">
        <v>146</v>
      </c>
      <c r="E216" s="60">
        <v>12.7</v>
      </c>
      <c r="F216" s="61"/>
      <c r="G216" s="61">
        <f>E216*AE216</f>
        <v>0</v>
      </c>
      <c r="H216" s="61">
        <f>I216-G216</f>
        <v>0</v>
      </c>
      <c r="I216" s="61">
        <f>E216*F216</f>
        <v>0</v>
      </c>
      <c r="J216" s="61">
        <v>0.00011</v>
      </c>
      <c r="K216" s="61">
        <f>E216*J216</f>
        <v>0.001397</v>
      </c>
      <c r="L216" s="62" t="s">
        <v>170</v>
      </c>
      <c r="M216" s="39"/>
      <c r="N216" s="39"/>
      <c r="P216" s="11">
        <f>IF(AG216="5",I216,0)</f>
        <v>0</v>
      </c>
      <c r="R216" s="11">
        <f>IF(AG216="1",G216,0)</f>
        <v>0</v>
      </c>
      <c r="S216" s="11">
        <f>IF(AG216="1",H216,0)</f>
        <v>0</v>
      </c>
      <c r="T216" s="11">
        <f>IF(AG216="7",G216,0)</f>
        <v>0</v>
      </c>
      <c r="U216" s="11">
        <f>IF(AG216="7",H216,0)</f>
        <v>0</v>
      </c>
      <c r="V216" s="11">
        <f>IF(AG216="2",G216,0)</f>
        <v>0</v>
      </c>
      <c r="W216" s="11">
        <f>IF(AG216="2",H216,0)</f>
        <v>0</v>
      </c>
      <c r="X216" s="11">
        <f>IF(AG216="0",I216,0)</f>
        <v>0</v>
      </c>
      <c r="Y216" s="6"/>
      <c r="Z216" s="4">
        <f>IF(AD216=0,I216,0)</f>
        <v>0</v>
      </c>
      <c r="AA216" s="4">
        <f>IF(AD216=15,I216,0)</f>
        <v>0</v>
      </c>
      <c r="AB216" s="4">
        <f>IF(AD216=21,I216,0)</f>
        <v>0</v>
      </c>
      <c r="AD216" s="11">
        <v>21</v>
      </c>
      <c r="AE216" s="11">
        <f>F216*0.750866666666666</f>
        <v>0</v>
      </c>
      <c r="AF216" s="11">
        <f>F216*(1-0.750866666666666)</f>
        <v>0</v>
      </c>
      <c r="AG216" s="7" t="s">
        <v>498</v>
      </c>
      <c r="AM216" s="11">
        <f>E216*AE216</f>
        <v>0</v>
      </c>
      <c r="AN216" s="11">
        <f>E216*AF216</f>
        <v>0</v>
      </c>
      <c r="AO216" s="12" t="s">
        <v>191</v>
      </c>
      <c r="AP216" s="12" t="s">
        <v>225</v>
      </c>
      <c r="AQ216" s="6" t="s">
        <v>234</v>
      </c>
      <c r="AS216" s="11">
        <f>AM216+AN216</f>
        <v>0</v>
      </c>
      <c r="AT216" s="11">
        <f>F216/(100-AU216)*100</f>
        <v>0</v>
      </c>
      <c r="AU216" s="11">
        <v>0</v>
      </c>
      <c r="AV216" s="11">
        <f>K216</f>
        <v>0.001397</v>
      </c>
    </row>
    <row r="217" spans="1:14" ht="12.75">
      <c r="A217" s="39"/>
      <c r="B217" s="39"/>
      <c r="C217" s="63" t="s">
        <v>1448</v>
      </c>
      <c r="D217" s="39"/>
      <c r="E217" s="64">
        <v>12.7</v>
      </c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1:48" ht="12.75">
      <c r="A218" s="59" t="s">
        <v>582</v>
      </c>
      <c r="B218" s="59" t="s">
        <v>955</v>
      </c>
      <c r="C218" s="59" t="s">
        <v>1449</v>
      </c>
      <c r="D218" s="59" t="s">
        <v>146</v>
      </c>
      <c r="E218" s="60">
        <v>12.7</v>
      </c>
      <c r="F218" s="61"/>
      <c r="G218" s="61">
        <f>E218*AE218</f>
        <v>0</v>
      </c>
      <c r="H218" s="61">
        <f>I218-G218</f>
        <v>0</v>
      </c>
      <c r="I218" s="61">
        <f>E218*F218</f>
        <v>0</v>
      </c>
      <c r="J218" s="61">
        <v>0</v>
      </c>
      <c r="K218" s="61">
        <f>E218*J218</f>
        <v>0</v>
      </c>
      <c r="L218" s="62" t="s">
        <v>170</v>
      </c>
      <c r="M218" s="39"/>
      <c r="N218" s="39"/>
      <c r="P218" s="11">
        <f>IF(AG218="5",I218,0)</f>
        <v>0</v>
      </c>
      <c r="R218" s="11">
        <f>IF(AG218="1",G218,0)</f>
        <v>0</v>
      </c>
      <c r="S218" s="11">
        <f>IF(AG218="1",H218,0)</f>
        <v>0</v>
      </c>
      <c r="T218" s="11">
        <f>IF(AG218="7",G218,0)</f>
        <v>0</v>
      </c>
      <c r="U218" s="11">
        <f>IF(AG218="7",H218,0)</f>
        <v>0</v>
      </c>
      <c r="V218" s="11">
        <f>IF(AG218="2",G218,0)</f>
        <v>0</v>
      </c>
      <c r="W218" s="11">
        <f>IF(AG218="2",H218,0)</f>
        <v>0</v>
      </c>
      <c r="X218" s="11">
        <f>IF(AG218="0",I218,0)</f>
        <v>0</v>
      </c>
      <c r="Y218" s="6"/>
      <c r="Z218" s="4">
        <f>IF(AD218=0,I218,0)</f>
        <v>0</v>
      </c>
      <c r="AA218" s="4">
        <f>IF(AD218=15,I218,0)</f>
        <v>0</v>
      </c>
      <c r="AB218" s="4">
        <f>IF(AD218=21,I218,0)</f>
        <v>0</v>
      </c>
      <c r="AD218" s="11">
        <v>21</v>
      </c>
      <c r="AE218" s="11">
        <f>F218*0</f>
        <v>0</v>
      </c>
      <c r="AF218" s="11">
        <f>F218*(1-0)</f>
        <v>0</v>
      </c>
      <c r="AG218" s="7" t="s">
        <v>498</v>
      </c>
      <c r="AM218" s="11">
        <f>E218*AE218</f>
        <v>0</v>
      </c>
      <c r="AN218" s="11">
        <f>E218*AF218</f>
        <v>0</v>
      </c>
      <c r="AO218" s="12" t="s">
        <v>191</v>
      </c>
      <c r="AP218" s="12" t="s">
        <v>225</v>
      </c>
      <c r="AQ218" s="6" t="s">
        <v>234</v>
      </c>
      <c r="AS218" s="11">
        <f>AM218+AN218</f>
        <v>0</v>
      </c>
      <c r="AT218" s="11">
        <f>F218/(100-AU218)*100</f>
        <v>0</v>
      </c>
      <c r="AU218" s="11">
        <v>0</v>
      </c>
      <c r="AV218" s="11">
        <f>K218</f>
        <v>0</v>
      </c>
    </row>
    <row r="219" spans="1:14" ht="12.75">
      <c r="A219" s="39"/>
      <c r="B219" s="39"/>
      <c r="C219" s="63" t="s">
        <v>1450</v>
      </c>
      <c r="D219" s="39"/>
      <c r="E219" s="64">
        <v>12.7</v>
      </c>
      <c r="F219" s="39"/>
      <c r="G219" s="39"/>
      <c r="H219" s="39"/>
      <c r="I219" s="39"/>
      <c r="J219" s="39"/>
      <c r="K219" s="39"/>
      <c r="L219" s="39"/>
      <c r="M219" s="39"/>
      <c r="N219" s="39"/>
    </row>
    <row r="220" spans="1:48" ht="12.75">
      <c r="A220" s="70" t="s">
        <v>583</v>
      </c>
      <c r="B220" s="70" t="s">
        <v>956</v>
      </c>
      <c r="C220" s="70" t="s">
        <v>1451</v>
      </c>
      <c r="D220" s="70" t="s">
        <v>144</v>
      </c>
      <c r="E220" s="71">
        <v>5.35</v>
      </c>
      <c r="F220" s="72"/>
      <c r="G220" s="72">
        <f>E220*AE220</f>
        <v>0</v>
      </c>
      <c r="H220" s="72">
        <f>I220-G220</f>
        <v>0</v>
      </c>
      <c r="I220" s="72">
        <f>E220*F220</f>
        <v>0</v>
      </c>
      <c r="J220" s="72">
        <v>0.00023</v>
      </c>
      <c r="K220" s="72">
        <f>E220*J220</f>
        <v>0.0012305</v>
      </c>
      <c r="L220" s="73" t="s">
        <v>170</v>
      </c>
      <c r="M220" s="39"/>
      <c r="N220" s="39"/>
      <c r="P220" s="11">
        <f>IF(AG220="5",I220,0)</f>
        <v>0</v>
      </c>
      <c r="R220" s="11">
        <f>IF(AG220="1",G220,0)</f>
        <v>0</v>
      </c>
      <c r="S220" s="11">
        <f>IF(AG220="1",H220,0)</f>
        <v>0</v>
      </c>
      <c r="T220" s="11">
        <f>IF(AG220="7",G220,0)</f>
        <v>0</v>
      </c>
      <c r="U220" s="11">
        <f>IF(AG220="7",H220,0)</f>
        <v>0</v>
      </c>
      <c r="V220" s="11">
        <f>IF(AG220="2",G220,0)</f>
        <v>0</v>
      </c>
      <c r="W220" s="11">
        <f>IF(AG220="2",H220,0)</f>
        <v>0</v>
      </c>
      <c r="X220" s="11">
        <f>IF(AG220="0",I220,0)</f>
        <v>0</v>
      </c>
      <c r="Y220" s="6"/>
      <c r="Z220" s="5">
        <f>IF(AD220=0,I220,0)</f>
        <v>0</v>
      </c>
      <c r="AA220" s="5">
        <f>IF(AD220=15,I220,0)</f>
        <v>0</v>
      </c>
      <c r="AB220" s="5">
        <f>IF(AD220=21,I220,0)</f>
        <v>0</v>
      </c>
      <c r="AD220" s="11">
        <v>21</v>
      </c>
      <c r="AE220" s="11">
        <f>F220*1</f>
        <v>0</v>
      </c>
      <c r="AF220" s="11">
        <f>F220*(1-1)</f>
        <v>0</v>
      </c>
      <c r="AG220" s="8" t="s">
        <v>498</v>
      </c>
      <c r="AM220" s="11">
        <f>E220*AE220</f>
        <v>0</v>
      </c>
      <c r="AN220" s="11">
        <f>E220*AF220</f>
        <v>0</v>
      </c>
      <c r="AO220" s="12" t="s">
        <v>191</v>
      </c>
      <c r="AP220" s="12" t="s">
        <v>225</v>
      </c>
      <c r="AQ220" s="6" t="s">
        <v>234</v>
      </c>
      <c r="AS220" s="11">
        <f>AM220+AN220</f>
        <v>0</v>
      </c>
      <c r="AT220" s="11">
        <f>F220/(100-AU220)*100</f>
        <v>0</v>
      </c>
      <c r="AU220" s="11">
        <v>0</v>
      </c>
      <c r="AV220" s="11">
        <f>K220</f>
        <v>0.0012305</v>
      </c>
    </row>
    <row r="221" spans="1:14" ht="12.75">
      <c r="A221" s="39"/>
      <c r="B221" s="39"/>
      <c r="C221" s="63" t="s">
        <v>502</v>
      </c>
      <c r="D221" s="39"/>
      <c r="E221" s="64">
        <v>5</v>
      </c>
      <c r="F221" s="39"/>
      <c r="G221" s="39"/>
      <c r="H221" s="39"/>
      <c r="I221" s="39"/>
      <c r="J221" s="39"/>
      <c r="K221" s="39"/>
      <c r="L221" s="39"/>
      <c r="M221" s="39"/>
      <c r="N221" s="39"/>
    </row>
    <row r="222" spans="1:14" ht="12.75">
      <c r="A222" s="39"/>
      <c r="B222" s="39"/>
      <c r="C222" s="63" t="s">
        <v>1452</v>
      </c>
      <c r="D222" s="39"/>
      <c r="E222" s="64">
        <v>0.35</v>
      </c>
      <c r="F222" s="39"/>
      <c r="G222" s="39"/>
      <c r="H222" s="39"/>
      <c r="I222" s="39"/>
      <c r="J222" s="39"/>
      <c r="K222" s="39"/>
      <c r="L222" s="39"/>
      <c r="M222" s="39"/>
      <c r="N222" s="39"/>
    </row>
    <row r="223" spans="1:48" ht="12.75">
      <c r="A223" s="59" t="s">
        <v>584</v>
      </c>
      <c r="B223" s="59" t="s">
        <v>957</v>
      </c>
      <c r="C223" s="59" t="s">
        <v>1453</v>
      </c>
      <c r="D223" s="59" t="s">
        <v>146</v>
      </c>
      <c r="E223" s="60">
        <v>8.36</v>
      </c>
      <c r="F223" s="61"/>
      <c r="G223" s="61">
        <f>E223*AE223</f>
        <v>0</v>
      </c>
      <c r="H223" s="61">
        <f>I223-G223</f>
        <v>0</v>
      </c>
      <c r="I223" s="61">
        <f>E223*F223</f>
        <v>0</v>
      </c>
      <c r="J223" s="61">
        <v>7E-05</v>
      </c>
      <c r="K223" s="61">
        <f>E223*J223</f>
        <v>0.0005851999999999999</v>
      </c>
      <c r="L223" s="62" t="s">
        <v>170</v>
      </c>
      <c r="M223" s="39"/>
      <c r="N223" s="39"/>
      <c r="P223" s="11">
        <f>IF(AG223="5",I223,0)</f>
        <v>0</v>
      </c>
      <c r="R223" s="11">
        <f>IF(AG223="1",G223,0)</f>
        <v>0</v>
      </c>
      <c r="S223" s="11">
        <f>IF(AG223="1",H223,0)</f>
        <v>0</v>
      </c>
      <c r="T223" s="11">
        <f>IF(AG223="7",G223,0)</f>
        <v>0</v>
      </c>
      <c r="U223" s="11">
        <f>IF(AG223="7",H223,0)</f>
        <v>0</v>
      </c>
      <c r="V223" s="11">
        <f>IF(AG223="2",G223,0)</f>
        <v>0</v>
      </c>
      <c r="W223" s="11">
        <f>IF(AG223="2",H223,0)</f>
        <v>0</v>
      </c>
      <c r="X223" s="11">
        <f>IF(AG223="0",I223,0)</f>
        <v>0</v>
      </c>
      <c r="Y223" s="6"/>
      <c r="Z223" s="4">
        <f>IF(AD223=0,I223,0)</f>
        <v>0</v>
      </c>
      <c r="AA223" s="4">
        <f>IF(AD223=15,I223,0)</f>
        <v>0</v>
      </c>
      <c r="AB223" s="4">
        <f>IF(AD223=21,I223,0)</f>
        <v>0</v>
      </c>
      <c r="AD223" s="11">
        <v>21</v>
      </c>
      <c r="AE223" s="11">
        <f>F223*0.321454545454545</f>
        <v>0</v>
      </c>
      <c r="AF223" s="11">
        <f>F223*(1-0.321454545454545)</f>
        <v>0</v>
      </c>
      <c r="AG223" s="7" t="s">
        <v>498</v>
      </c>
      <c r="AM223" s="11">
        <f>E223*AE223</f>
        <v>0</v>
      </c>
      <c r="AN223" s="11">
        <f>E223*AF223</f>
        <v>0</v>
      </c>
      <c r="AO223" s="12" t="s">
        <v>191</v>
      </c>
      <c r="AP223" s="12" t="s">
        <v>225</v>
      </c>
      <c r="AQ223" s="6" t="s">
        <v>234</v>
      </c>
      <c r="AS223" s="11">
        <f>AM223+AN223</f>
        <v>0</v>
      </c>
      <c r="AT223" s="11">
        <f>F223/(100-AU223)*100</f>
        <v>0</v>
      </c>
      <c r="AU223" s="11">
        <v>0</v>
      </c>
      <c r="AV223" s="11">
        <f>K223</f>
        <v>0.0005851999999999999</v>
      </c>
    </row>
    <row r="224" spans="1:14" ht="12.75">
      <c r="A224" s="39"/>
      <c r="B224" s="39"/>
      <c r="C224" s="63" t="s">
        <v>1454</v>
      </c>
      <c r="D224" s="39"/>
      <c r="E224" s="64">
        <v>8.36</v>
      </c>
      <c r="F224" s="39"/>
      <c r="G224" s="39"/>
      <c r="H224" s="39"/>
      <c r="I224" s="39"/>
      <c r="J224" s="39"/>
      <c r="K224" s="39"/>
      <c r="L224" s="39"/>
      <c r="M224" s="39"/>
      <c r="N224" s="39"/>
    </row>
    <row r="225" spans="1:48" ht="12.75">
      <c r="A225" s="70" t="s">
        <v>585</v>
      </c>
      <c r="B225" s="70" t="s">
        <v>958</v>
      </c>
      <c r="C225" s="70" t="s">
        <v>1455</v>
      </c>
      <c r="D225" s="70" t="s">
        <v>144</v>
      </c>
      <c r="E225" s="71">
        <v>8.945</v>
      </c>
      <c r="F225" s="72"/>
      <c r="G225" s="72">
        <f>E225*AE225</f>
        <v>0</v>
      </c>
      <c r="H225" s="72">
        <f>I225-G225</f>
        <v>0</v>
      </c>
      <c r="I225" s="72">
        <f>E225*F225</f>
        <v>0</v>
      </c>
      <c r="J225" s="72">
        <v>0.00012</v>
      </c>
      <c r="K225" s="72">
        <f>E225*J225</f>
        <v>0.0010734</v>
      </c>
      <c r="L225" s="73" t="s">
        <v>170</v>
      </c>
      <c r="M225" s="39"/>
      <c r="N225" s="39"/>
      <c r="P225" s="11">
        <f>IF(AG225="5",I225,0)</f>
        <v>0</v>
      </c>
      <c r="R225" s="11">
        <f>IF(AG225="1",G225,0)</f>
        <v>0</v>
      </c>
      <c r="S225" s="11">
        <f>IF(AG225="1",H225,0)</f>
        <v>0</v>
      </c>
      <c r="T225" s="11">
        <f>IF(AG225="7",G225,0)</f>
        <v>0</v>
      </c>
      <c r="U225" s="11">
        <f>IF(AG225="7",H225,0)</f>
        <v>0</v>
      </c>
      <c r="V225" s="11">
        <f>IF(AG225="2",G225,0)</f>
        <v>0</v>
      </c>
      <c r="W225" s="11">
        <f>IF(AG225="2",H225,0)</f>
        <v>0</v>
      </c>
      <c r="X225" s="11">
        <f>IF(AG225="0",I225,0)</f>
        <v>0</v>
      </c>
      <c r="Y225" s="6"/>
      <c r="Z225" s="5">
        <f>IF(AD225=0,I225,0)</f>
        <v>0</v>
      </c>
      <c r="AA225" s="5">
        <f>IF(AD225=15,I225,0)</f>
        <v>0</v>
      </c>
      <c r="AB225" s="5">
        <f>IF(AD225=21,I225,0)</f>
        <v>0</v>
      </c>
      <c r="AD225" s="11">
        <v>21</v>
      </c>
      <c r="AE225" s="11">
        <f>F225*1</f>
        <v>0</v>
      </c>
      <c r="AF225" s="11">
        <f>F225*(1-1)</f>
        <v>0</v>
      </c>
      <c r="AG225" s="8" t="s">
        <v>498</v>
      </c>
      <c r="AM225" s="11">
        <f>E225*AE225</f>
        <v>0</v>
      </c>
      <c r="AN225" s="11">
        <f>E225*AF225</f>
        <v>0</v>
      </c>
      <c r="AO225" s="12" t="s">
        <v>191</v>
      </c>
      <c r="AP225" s="12" t="s">
        <v>225</v>
      </c>
      <c r="AQ225" s="6" t="s">
        <v>234</v>
      </c>
      <c r="AS225" s="11">
        <f>AM225+AN225</f>
        <v>0</v>
      </c>
      <c r="AT225" s="11">
        <f>F225/(100-AU225)*100</f>
        <v>0</v>
      </c>
      <c r="AU225" s="11">
        <v>0</v>
      </c>
      <c r="AV225" s="11">
        <f>K225</f>
        <v>0.0010734</v>
      </c>
    </row>
    <row r="226" spans="1:14" ht="12.75">
      <c r="A226" s="39"/>
      <c r="B226" s="39"/>
      <c r="C226" s="63" t="s">
        <v>1456</v>
      </c>
      <c r="D226" s="39"/>
      <c r="E226" s="64">
        <v>8.36</v>
      </c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1:14" ht="12.75">
      <c r="A227" s="39"/>
      <c r="B227" s="39"/>
      <c r="C227" s="63" t="s">
        <v>1457</v>
      </c>
      <c r="D227" s="39"/>
      <c r="E227" s="64">
        <v>0.585</v>
      </c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1:48" ht="12.75">
      <c r="A228" s="70" t="s">
        <v>586</v>
      </c>
      <c r="B228" s="70" t="s">
        <v>959</v>
      </c>
      <c r="C228" s="70" t="s">
        <v>1458</v>
      </c>
      <c r="D228" s="70" t="s">
        <v>146</v>
      </c>
      <c r="E228" s="71">
        <v>-8.945</v>
      </c>
      <c r="F228" s="72"/>
      <c r="G228" s="72">
        <f>E228*AE228</f>
        <v>0</v>
      </c>
      <c r="H228" s="72">
        <f>I228-G228</f>
        <v>0</v>
      </c>
      <c r="I228" s="72">
        <f>E228*F228</f>
        <v>0</v>
      </c>
      <c r="J228" s="72">
        <v>1E-05</v>
      </c>
      <c r="K228" s="72">
        <f>E228*J228</f>
        <v>-8.945E-05</v>
      </c>
      <c r="L228" s="73" t="s">
        <v>170</v>
      </c>
      <c r="M228" s="39"/>
      <c r="N228" s="39"/>
      <c r="P228" s="11">
        <f>IF(AG228="5",I228,0)</f>
        <v>0</v>
      </c>
      <c r="R228" s="11">
        <f>IF(AG228="1",G228,0)</f>
        <v>0</v>
      </c>
      <c r="S228" s="11">
        <f>IF(AG228="1",H228,0)</f>
        <v>0</v>
      </c>
      <c r="T228" s="11">
        <f>IF(AG228="7",G228,0)</f>
        <v>0</v>
      </c>
      <c r="U228" s="11">
        <f>IF(AG228="7",H228,0)</f>
        <v>0</v>
      </c>
      <c r="V228" s="11">
        <f>IF(AG228="2",G228,0)</f>
        <v>0</v>
      </c>
      <c r="W228" s="11">
        <f>IF(AG228="2",H228,0)</f>
        <v>0</v>
      </c>
      <c r="X228" s="11">
        <f>IF(AG228="0",I228,0)</f>
        <v>0</v>
      </c>
      <c r="Y228" s="6"/>
      <c r="Z228" s="5">
        <f>IF(AD228=0,I228,0)</f>
        <v>0</v>
      </c>
      <c r="AA228" s="5">
        <f>IF(AD228=15,I228,0)</f>
        <v>0</v>
      </c>
      <c r="AB228" s="5">
        <f>IF(AD228=21,I228,0)</f>
        <v>0</v>
      </c>
      <c r="AD228" s="11">
        <v>21</v>
      </c>
      <c r="AE228" s="11">
        <f>F228*1</f>
        <v>0</v>
      </c>
      <c r="AF228" s="11">
        <f>F228*(1-1)</f>
        <v>0</v>
      </c>
      <c r="AG228" s="8" t="s">
        <v>498</v>
      </c>
      <c r="AM228" s="11">
        <f>E228*AE228</f>
        <v>0</v>
      </c>
      <c r="AN228" s="11">
        <f>E228*AF228</f>
        <v>0</v>
      </c>
      <c r="AO228" s="12" t="s">
        <v>191</v>
      </c>
      <c r="AP228" s="12" t="s">
        <v>225</v>
      </c>
      <c r="AQ228" s="6" t="s">
        <v>234</v>
      </c>
      <c r="AS228" s="11">
        <f>AM228+AN228</f>
        <v>0</v>
      </c>
      <c r="AT228" s="11">
        <f>F228/(100-AU228)*100</f>
        <v>0</v>
      </c>
      <c r="AU228" s="11">
        <v>0</v>
      </c>
      <c r="AV228" s="11">
        <f>K228</f>
        <v>-8.945E-05</v>
      </c>
    </row>
    <row r="229" spans="1:14" ht="12.75">
      <c r="A229" s="39"/>
      <c r="B229" s="39"/>
      <c r="C229" s="63" t="s">
        <v>1459</v>
      </c>
      <c r="D229" s="39"/>
      <c r="E229" s="64">
        <v>-8.36</v>
      </c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1:14" ht="12.75">
      <c r="A230" s="39"/>
      <c r="B230" s="39"/>
      <c r="C230" s="63" t="s">
        <v>1460</v>
      </c>
      <c r="D230" s="39"/>
      <c r="E230" s="64">
        <v>-0.585</v>
      </c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1:14" ht="12.75">
      <c r="A231" s="39"/>
      <c r="B231" s="65" t="s">
        <v>872</v>
      </c>
      <c r="C231" s="303" t="s">
        <v>1461</v>
      </c>
      <c r="D231" s="304"/>
      <c r="E231" s="304"/>
      <c r="F231" s="304"/>
      <c r="G231" s="304"/>
      <c r="H231" s="304"/>
      <c r="I231" s="304"/>
      <c r="J231" s="304"/>
      <c r="K231" s="304"/>
      <c r="L231" s="304"/>
      <c r="M231" s="39"/>
      <c r="N231" s="39"/>
    </row>
    <row r="232" spans="1:37" ht="12.75">
      <c r="A232" s="66"/>
      <c r="B232" s="67" t="s">
        <v>560</v>
      </c>
      <c r="C232" s="305" t="s">
        <v>1462</v>
      </c>
      <c r="D232" s="306"/>
      <c r="E232" s="306"/>
      <c r="F232" s="306"/>
      <c r="G232" s="68">
        <f>SUM(G233:G264)</f>
        <v>0</v>
      </c>
      <c r="H232" s="68">
        <f>SUM(H233:H264)</f>
        <v>0</v>
      </c>
      <c r="I232" s="68">
        <f>G232+H232</f>
        <v>0</v>
      </c>
      <c r="J232" s="69"/>
      <c r="K232" s="68">
        <f>SUM(K233:K264)</f>
        <v>110.17978905000001</v>
      </c>
      <c r="L232" s="69"/>
      <c r="M232" s="39"/>
      <c r="N232" s="39"/>
      <c r="Y232" s="6"/>
      <c r="AI232" s="13">
        <f>SUM(Z233:Z264)</f>
        <v>0</v>
      </c>
      <c r="AJ232" s="13">
        <f>SUM(AA233:AA264)</f>
        <v>0</v>
      </c>
      <c r="AK232" s="13">
        <f>SUM(AB233:AB264)</f>
        <v>0</v>
      </c>
    </row>
    <row r="233" spans="1:48" ht="12.75">
      <c r="A233" s="59" t="s">
        <v>587</v>
      </c>
      <c r="B233" s="59" t="s">
        <v>960</v>
      </c>
      <c r="C233" s="59" t="s">
        <v>1463</v>
      </c>
      <c r="D233" s="59" t="s">
        <v>142</v>
      </c>
      <c r="E233" s="60">
        <v>117.4</v>
      </c>
      <c r="F233" s="61"/>
      <c r="G233" s="61">
        <f>E233*AE233</f>
        <v>0</v>
      </c>
      <c r="H233" s="61">
        <f>I233-G233</f>
        <v>0</v>
      </c>
      <c r="I233" s="61">
        <f>E233*F233</f>
        <v>0</v>
      </c>
      <c r="J233" s="61">
        <v>0.00892</v>
      </c>
      <c r="K233" s="61">
        <f>E233*J233</f>
        <v>1.0472080000000001</v>
      </c>
      <c r="L233" s="62" t="s">
        <v>170</v>
      </c>
      <c r="M233" s="39"/>
      <c r="N233" s="39"/>
      <c r="P233" s="11">
        <f>IF(AG233="5",I233,0)</f>
        <v>0</v>
      </c>
      <c r="R233" s="11">
        <f>IF(AG233="1",G233,0)</f>
        <v>0</v>
      </c>
      <c r="S233" s="11">
        <f>IF(AG233="1",H233,0)</f>
        <v>0</v>
      </c>
      <c r="T233" s="11">
        <f>IF(AG233="7",G233,0)</f>
        <v>0</v>
      </c>
      <c r="U233" s="11">
        <f>IF(AG233="7",H233,0)</f>
        <v>0</v>
      </c>
      <c r="V233" s="11">
        <f>IF(AG233="2",G233,0)</f>
        <v>0</v>
      </c>
      <c r="W233" s="11">
        <f>IF(AG233="2",H233,0)</f>
        <v>0</v>
      </c>
      <c r="X233" s="11">
        <f>IF(AG233="0",I233,0)</f>
        <v>0</v>
      </c>
      <c r="Y233" s="6"/>
      <c r="Z233" s="4">
        <f>IF(AD233=0,I233,0)</f>
        <v>0</v>
      </c>
      <c r="AA233" s="4">
        <f>IF(AD233=15,I233,0)</f>
        <v>0</v>
      </c>
      <c r="AB233" s="4">
        <f>IF(AD233=21,I233,0)</f>
        <v>0</v>
      </c>
      <c r="AD233" s="11">
        <v>21</v>
      </c>
      <c r="AE233" s="11">
        <f>F233*0.708959376739009</f>
        <v>0</v>
      </c>
      <c r="AF233" s="11">
        <f>F233*(1-0.708959376739009)</f>
        <v>0</v>
      </c>
      <c r="AG233" s="7" t="s">
        <v>498</v>
      </c>
      <c r="AM233" s="11">
        <f>E233*AE233</f>
        <v>0</v>
      </c>
      <c r="AN233" s="11">
        <f>E233*AF233</f>
        <v>0</v>
      </c>
      <c r="AO233" s="12" t="s">
        <v>192</v>
      </c>
      <c r="AP233" s="12" t="s">
        <v>225</v>
      </c>
      <c r="AQ233" s="6" t="s">
        <v>234</v>
      </c>
      <c r="AS233" s="11">
        <f>AM233+AN233</f>
        <v>0</v>
      </c>
      <c r="AT233" s="11">
        <f>F233/(100-AU233)*100</f>
        <v>0</v>
      </c>
      <c r="AU233" s="11">
        <v>0</v>
      </c>
      <c r="AV233" s="11">
        <f>K233</f>
        <v>1.0472080000000001</v>
      </c>
    </row>
    <row r="234" spans="1:14" ht="12.75">
      <c r="A234" s="39"/>
      <c r="B234" s="39"/>
      <c r="C234" s="63" t="s">
        <v>1464</v>
      </c>
      <c r="D234" s="39"/>
      <c r="E234" s="64">
        <v>46</v>
      </c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1:14" ht="12.75">
      <c r="A235" s="39"/>
      <c r="B235" s="39"/>
      <c r="C235" s="63" t="s">
        <v>1465</v>
      </c>
      <c r="D235" s="39"/>
      <c r="E235" s="64">
        <v>71.4</v>
      </c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1:48" ht="12.75">
      <c r="A236" s="59" t="s">
        <v>588</v>
      </c>
      <c r="B236" s="59" t="s">
        <v>961</v>
      </c>
      <c r="C236" s="59" t="s">
        <v>1466</v>
      </c>
      <c r="D236" s="59" t="s">
        <v>141</v>
      </c>
      <c r="E236" s="60">
        <v>33.495</v>
      </c>
      <c r="F236" s="61"/>
      <c r="G236" s="61">
        <f>E236*AE236</f>
        <v>0</v>
      </c>
      <c r="H236" s="61">
        <f>I236-G236</f>
        <v>0</v>
      </c>
      <c r="I236" s="61">
        <f>E236*F236</f>
        <v>0</v>
      </c>
      <c r="J236" s="61">
        <v>2.48329</v>
      </c>
      <c r="K236" s="61">
        <f>E236*J236</f>
        <v>83.17779855</v>
      </c>
      <c r="L236" s="62" t="s">
        <v>170</v>
      </c>
      <c r="M236" s="39"/>
      <c r="N236" s="39"/>
      <c r="P236" s="11">
        <f>IF(AG236="5",I236,0)</f>
        <v>0</v>
      </c>
      <c r="R236" s="11">
        <f>IF(AG236="1",G236,0)</f>
        <v>0</v>
      </c>
      <c r="S236" s="11">
        <f>IF(AG236="1",H236,0)</f>
        <v>0</v>
      </c>
      <c r="T236" s="11">
        <f>IF(AG236="7",G236,0)</f>
        <v>0</v>
      </c>
      <c r="U236" s="11">
        <f>IF(AG236="7",H236,0)</f>
        <v>0</v>
      </c>
      <c r="V236" s="11">
        <f>IF(AG236="2",G236,0)</f>
        <v>0</v>
      </c>
      <c r="W236" s="11">
        <f>IF(AG236="2",H236,0)</f>
        <v>0</v>
      </c>
      <c r="X236" s="11">
        <f>IF(AG236="0",I236,0)</f>
        <v>0</v>
      </c>
      <c r="Y236" s="6"/>
      <c r="Z236" s="4">
        <f>IF(AD236=0,I236,0)</f>
        <v>0</v>
      </c>
      <c r="AA236" s="4">
        <f>IF(AD236=15,I236,0)</f>
        <v>0</v>
      </c>
      <c r="AB236" s="4">
        <f>IF(AD236=21,I236,0)</f>
        <v>0</v>
      </c>
      <c r="AD236" s="11">
        <v>21</v>
      </c>
      <c r="AE236" s="11">
        <f>F236*0.816203017832647</f>
        <v>0</v>
      </c>
      <c r="AF236" s="11">
        <f>F236*(1-0.816203017832647)</f>
        <v>0</v>
      </c>
      <c r="AG236" s="7" t="s">
        <v>498</v>
      </c>
      <c r="AM236" s="11">
        <f>E236*AE236</f>
        <v>0</v>
      </c>
      <c r="AN236" s="11">
        <f>E236*AF236</f>
        <v>0</v>
      </c>
      <c r="AO236" s="12" t="s">
        <v>192</v>
      </c>
      <c r="AP236" s="12" t="s">
        <v>225</v>
      </c>
      <c r="AQ236" s="6" t="s">
        <v>234</v>
      </c>
      <c r="AS236" s="11">
        <f>AM236+AN236</f>
        <v>0</v>
      </c>
      <c r="AT236" s="11">
        <f>F236/(100-AU236)*100</f>
        <v>0</v>
      </c>
      <c r="AU236" s="11">
        <v>0</v>
      </c>
      <c r="AV236" s="11">
        <f>K236</f>
        <v>83.17779855</v>
      </c>
    </row>
    <row r="237" spans="1:14" ht="12.75">
      <c r="A237" s="39"/>
      <c r="B237" s="39"/>
      <c r="C237" s="63" t="s">
        <v>1467</v>
      </c>
      <c r="D237" s="39"/>
      <c r="E237" s="64">
        <v>33.495</v>
      </c>
      <c r="F237" s="39"/>
      <c r="G237" s="39"/>
      <c r="H237" s="39"/>
      <c r="I237" s="39"/>
      <c r="J237" s="39"/>
      <c r="K237" s="39"/>
      <c r="L237" s="39"/>
      <c r="M237" s="39"/>
      <c r="N237" s="39"/>
    </row>
    <row r="238" spans="1:48" ht="12.75">
      <c r="A238" s="59" t="s">
        <v>589</v>
      </c>
      <c r="B238" s="59" t="s">
        <v>962</v>
      </c>
      <c r="C238" s="59" t="s">
        <v>1468</v>
      </c>
      <c r="D238" s="59" t="s">
        <v>142</v>
      </c>
      <c r="E238" s="60">
        <v>223.3</v>
      </c>
      <c r="F238" s="61"/>
      <c r="G238" s="61">
        <f>E238*AE238</f>
        <v>0</v>
      </c>
      <c r="H238" s="61">
        <f>I238-G238</f>
        <v>0</v>
      </c>
      <c r="I238" s="61">
        <f>E238*F238</f>
        <v>0</v>
      </c>
      <c r="J238" s="61">
        <v>0.005</v>
      </c>
      <c r="K238" s="61">
        <f>E238*J238</f>
        <v>1.1165</v>
      </c>
      <c r="L238" s="62" t="s">
        <v>170</v>
      </c>
      <c r="M238" s="39"/>
      <c r="N238" s="39"/>
      <c r="P238" s="11">
        <f>IF(AG238="5",I238,0)</f>
        <v>0</v>
      </c>
      <c r="R238" s="11">
        <f>IF(AG238="1",G238,0)</f>
        <v>0</v>
      </c>
      <c r="S238" s="11">
        <f>IF(AG238="1",H238,0)</f>
        <v>0</v>
      </c>
      <c r="T238" s="11">
        <f>IF(AG238="7",G238,0)</f>
        <v>0</v>
      </c>
      <c r="U238" s="11">
        <f>IF(AG238="7",H238,0)</f>
        <v>0</v>
      </c>
      <c r="V238" s="11">
        <f>IF(AG238="2",G238,0)</f>
        <v>0</v>
      </c>
      <c r="W238" s="11">
        <f>IF(AG238="2",H238,0)</f>
        <v>0</v>
      </c>
      <c r="X238" s="11">
        <f>IF(AG238="0",I238,0)</f>
        <v>0</v>
      </c>
      <c r="Y238" s="6"/>
      <c r="Z238" s="4">
        <f>IF(AD238=0,I238,0)</f>
        <v>0</v>
      </c>
      <c r="AA238" s="4">
        <f>IF(AD238=15,I238,0)</f>
        <v>0</v>
      </c>
      <c r="AB238" s="4">
        <f>IF(AD238=21,I238,0)</f>
        <v>0</v>
      </c>
      <c r="AD238" s="11">
        <v>21</v>
      </c>
      <c r="AE238" s="11">
        <f>F238*0.275943396226415</f>
        <v>0</v>
      </c>
      <c r="AF238" s="11">
        <f>F238*(1-0.275943396226415)</f>
        <v>0</v>
      </c>
      <c r="AG238" s="7" t="s">
        <v>498</v>
      </c>
      <c r="AM238" s="11">
        <f>E238*AE238</f>
        <v>0</v>
      </c>
      <c r="AN238" s="11">
        <f>E238*AF238</f>
        <v>0</v>
      </c>
      <c r="AO238" s="12" t="s">
        <v>192</v>
      </c>
      <c r="AP238" s="12" t="s">
        <v>225</v>
      </c>
      <c r="AQ238" s="6" t="s">
        <v>234</v>
      </c>
      <c r="AS238" s="11">
        <f>AM238+AN238</f>
        <v>0</v>
      </c>
      <c r="AT238" s="11">
        <f>F238/(100-AU238)*100</f>
        <v>0</v>
      </c>
      <c r="AU238" s="11">
        <v>0</v>
      </c>
      <c r="AV238" s="11">
        <f>K238</f>
        <v>1.1165</v>
      </c>
    </row>
    <row r="239" spans="1:14" ht="12.75">
      <c r="A239" s="39"/>
      <c r="B239" s="39"/>
      <c r="C239" s="63" t="s">
        <v>1469</v>
      </c>
      <c r="D239" s="39"/>
      <c r="E239" s="64">
        <v>223.3</v>
      </c>
      <c r="F239" s="39"/>
      <c r="G239" s="39"/>
      <c r="H239" s="39"/>
      <c r="I239" s="39"/>
      <c r="J239" s="39"/>
      <c r="K239" s="39"/>
      <c r="L239" s="39"/>
      <c r="M239" s="39"/>
      <c r="N239" s="39"/>
    </row>
    <row r="240" spans="1:48" ht="12.75">
      <c r="A240" s="59" t="s">
        <v>590</v>
      </c>
      <c r="B240" s="59" t="s">
        <v>963</v>
      </c>
      <c r="C240" s="59" t="s">
        <v>1470</v>
      </c>
      <c r="D240" s="59" t="s">
        <v>146</v>
      </c>
      <c r="E240" s="60">
        <v>85.1</v>
      </c>
      <c r="F240" s="61"/>
      <c r="G240" s="61">
        <f>E240*AE240</f>
        <v>0</v>
      </c>
      <c r="H240" s="61">
        <f>I240-G240</f>
        <v>0</v>
      </c>
      <c r="I240" s="61">
        <f>E240*F240</f>
        <v>0</v>
      </c>
      <c r="J240" s="61">
        <v>0</v>
      </c>
      <c r="K240" s="61">
        <f>E240*J240</f>
        <v>0</v>
      </c>
      <c r="L240" s="62" t="s">
        <v>170</v>
      </c>
      <c r="M240" s="39"/>
      <c r="N240" s="39"/>
      <c r="P240" s="11">
        <f>IF(AG240="5",I240,0)</f>
        <v>0</v>
      </c>
      <c r="R240" s="11">
        <f>IF(AG240="1",G240,0)</f>
        <v>0</v>
      </c>
      <c r="S240" s="11">
        <f>IF(AG240="1",H240,0)</f>
        <v>0</v>
      </c>
      <c r="T240" s="11">
        <f>IF(AG240="7",G240,0)</f>
        <v>0</v>
      </c>
      <c r="U240" s="11">
        <f>IF(AG240="7",H240,0)</f>
        <v>0</v>
      </c>
      <c r="V240" s="11">
        <f>IF(AG240="2",G240,0)</f>
        <v>0</v>
      </c>
      <c r="W240" s="11">
        <f>IF(AG240="2",H240,0)</f>
        <v>0</v>
      </c>
      <c r="X240" s="11">
        <f>IF(AG240="0",I240,0)</f>
        <v>0</v>
      </c>
      <c r="Y240" s="6"/>
      <c r="Z240" s="4">
        <f>IF(AD240=0,I240,0)</f>
        <v>0</v>
      </c>
      <c r="AA240" s="4">
        <f>IF(AD240=15,I240,0)</f>
        <v>0</v>
      </c>
      <c r="AB240" s="4">
        <f>IF(AD240=21,I240,0)</f>
        <v>0</v>
      </c>
      <c r="AD240" s="11">
        <v>21</v>
      </c>
      <c r="AE240" s="11">
        <f>F240*0.668965517241379</f>
        <v>0</v>
      </c>
      <c r="AF240" s="11">
        <f>F240*(1-0.668965517241379)</f>
        <v>0</v>
      </c>
      <c r="AG240" s="7" t="s">
        <v>498</v>
      </c>
      <c r="AM240" s="11">
        <f>E240*AE240</f>
        <v>0</v>
      </c>
      <c r="AN240" s="11">
        <f>E240*AF240</f>
        <v>0</v>
      </c>
      <c r="AO240" s="12" t="s">
        <v>192</v>
      </c>
      <c r="AP240" s="12" t="s">
        <v>225</v>
      </c>
      <c r="AQ240" s="6" t="s">
        <v>234</v>
      </c>
      <c r="AS240" s="11">
        <f>AM240+AN240</f>
        <v>0</v>
      </c>
      <c r="AT240" s="11">
        <f>F240/(100-AU240)*100</f>
        <v>0</v>
      </c>
      <c r="AU240" s="11">
        <v>0</v>
      </c>
      <c r="AV240" s="11">
        <f>K240</f>
        <v>0</v>
      </c>
    </row>
    <row r="241" spans="1:14" ht="12.75">
      <c r="A241" s="39"/>
      <c r="B241" s="39"/>
      <c r="C241" s="63" t="s">
        <v>1471</v>
      </c>
      <c r="D241" s="39"/>
      <c r="E241" s="64">
        <v>85.1</v>
      </c>
      <c r="F241" s="39"/>
      <c r="G241" s="39"/>
      <c r="H241" s="39"/>
      <c r="I241" s="39"/>
      <c r="J241" s="39"/>
      <c r="K241" s="39"/>
      <c r="L241" s="39"/>
      <c r="M241" s="39"/>
      <c r="N241" s="39"/>
    </row>
    <row r="242" spans="1:48" ht="12.75">
      <c r="A242" s="59" t="s">
        <v>591</v>
      </c>
      <c r="B242" s="59" t="s">
        <v>964</v>
      </c>
      <c r="C242" s="59" t="s">
        <v>1472</v>
      </c>
      <c r="D242" s="59" t="s">
        <v>146</v>
      </c>
      <c r="E242" s="60">
        <v>85.1</v>
      </c>
      <c r="F242" s="61"/>
      <c r="G242" s="61">
        <f>E242*AE242</f>
        <v>0</v>
      </c>
      <c r="H242" s="61">
        <f>I242-G242</f>
        <v>0</v>
      </c>
      <c r="I242" s="61">
        <f>E242*F242</f>
        <v>0</v>
      </c>
      <c r="J242" s="61">
        <v>0.00128</v>
      </c>
      <c r="K242" s="61">
        <f>E242*J242</f>
        <v>0.108928</v>
      </c>
      <c r="L242" s="62" t="s">
        <v>170</v>
      </c>
      <c r="M242" s="39"/>
      <c r="N242" s="39"/>
      <c r="P242" s="11">
        <f>IF(AG242="5",I242,0)</f>
        <v>0</v>
      </c>
      <c r="R242" s="11">
        <f>IF(AG242="1",G242,0)</f>
        <v>0</v>
      </c>
      <c r="S242" s="11">
        <f>IF(AG242="1",H242,0)</f>
        <v>0</v>
      </c>
      <c r="T242" s="11">
        <f>IF(AG242="7",G242,0)</f>
        <v>0</v>
      </c>
      <c r="U242" s="11">
        <f>IF(AG242="7",H242,0)</f>
        <v>0</v>
      </c>
      <c r="V242" s="11">
        <f>IF(AG242="2",G242,0)</f>
        <v>0</v>
      </c>
      <c r="W242" s="11">
        <f>IF(AG242="2",H242,0)</f>
        <v>0</v>
      </c>
      <c r="X242" s="11">
        <f>IF(AG242="0",I242,0)</f>
        <v>0</v>
      </c>
      <c r="Y242" s="6"/>
      <c r="Z242" s="4">
        <f>IF(AD242=0,I242,0)</f>
        <v>0</v>
      </c>
      <c r="AA242" s="4">
        <f>IF(AD242=15,I242,0)</f>
        <v>0</v>
      </c>
      <c r="AB242" s="4">
        <f>IF(AD242=21,I242,0)</f>
        <v>0</v>
      </c>
      <c r="AD242" s="11">
        <v>21</v>
      </c>
      <c r="AE242" s="11">
        <f>F242*0.331315789473684</f>
        <v>0</v>
      </c>
      <c r="AF242" s="11">
        <f>F242*(1-0.331315789473684)</f>
        <v>0</v>
      </c>
      <c r="AG242" s="7" t="s">
        <v>498</v>
      </c>
      <c r="AM242" s="11">
        <f>E242*AE242</f>
        <v>0</v>
      </c>
      <c r="AN242" s="11">
        <f>E242*AF242</f>
        <v>0</v>
      </c>
      <c r="AO242" s="12" t="s">
        <v>192</v>
      </c>
      <c r="AP242" s="12" t="s">
        <v>225</v>
      </c>
      <c r="AQ242" s="6" t="s">
        <v>234</v>
      </c>
      <c r="AS242" s="11">
        <f>AM242+AN242</f>
        <v>0</v>
      </c>
      <c r="AT242" s="11">
        <f>F242/(100-AU242)*100</f>
        <v>0</v>
      </c>
      <c r="AU242" s="11">
        <v>0</v>
      </c>
      <c r="AV242" s="11">
        <f>K242</f>
        <v>0.108928</v>
      </c>
    </row>
    <row r="243" spans="1:14" ht="12.75">
      <c r="A243" s="39"/>
      <c r="B243" s="39"/>
      <c r="C243" s="63" t="s">
        <v>1473</v>
      </c>
      <c r="D243" s="39"/>
      <c r="E243" s="64">
        <v>85.1</v>
      </c>
      <c r="F243" s="39"/>
      <c r="G243" s="39"/>
      <c r="H243" s="39"/>
      <c r="I243" s="39"/>
      <c r="J243" s="39"/>
      <c r="K243" s="39"/>
      <c r="L243" s="39"/>
      <c r="M243" s="39"/>
      <c r="N243" s="39"/>
    </row>
    <row r="244" spans="1:48" ht="12.75">
      <c r="A244" s="59" t="s">
        <v>592</v>
      </c>
      <c r="B244" s="59" t="s">
        <v>965</v>
      </c>
      <c r="C244" s="59" t="s">
        <v>1474</v>
      </c>
      <c r="D244" s="59" t="s">
        <v>141</v>
      </c>
      <c r="E244" s="60">
        <v>7.697</v>
      </c>
      <c r="F244" s="61"/>
      <c r="G244" s="61">
        <f>E244*AE244</f>
        <v>0</v>
      </c>
      <c r="H244" s="61">
        <f>I244-G244</f>
        <v>0</v>
      </c>
      <c r="I244" s="61">
        <f>E244*F244</f>
        <v>0</v>
      </c>
      <c r="J244" s="61">
        <v>2.525</v>
      </c>
      <c r="K244" s="61">
        <f>E244*J244</f>
        <v>19.434925</v>
      </c>
      <c r="L244" s="62" t="s">
        <v>170</v>
      </c>
      <c r="M244" s="39"/>
      <c r="N244" s="39"/>
      <c r="P244" s="11">
        <f>IF(AG244="5",I244,0)</f>
        <v>0</v>
      </c>
      <c r="R244" s="11">
        <f>IF(AG244="1",G244,0)</f>
        <v>0</v>
      </c>
      <c r="S244" s="11">
        <f>IF(AG244="1",H244,0)</f>
        <v>0</v>
      </c>
      <c r="T244" s="11">
        <f>IF(AG244="7",G244,0)</f>
        <v>0</v>
      </c>
      <c r="U244" s="11">
        <f>IF(AG244="7",H244,0)</f>
        <v>0</v>
      </c>
      <c r="V244" s="11">
        <f>IF(AG244="2",G244,0)</f>
        <v>0</v>
      </c>
      <c r="W244" s="11">
        <f>IF(AG244="2",H244,0)</f>
        <v>0</v>
      </c>
      <c r="X244" s="11">
        <f>IF(AG244="0",I244,0)</f>
        <v>0</v>
      </c>
      <c r="Y244" s="6"/>
      <c r="Z244" s="4">
        <f>IF(AD244=0,I244,0)</f>
        <v>0</v>
      </c>
      <c r="AA244" s="4">
        <f>IF(AD244=15,I244,0)</f>
        <v>0</v>
      </c>
      <c r="AB244" s="4">
        <f>IF(AD244=21,I244,0)</f>
        <v>0</v>
      </c>
      <c r="AD244" s="11">
        <v>21</v>
      </c>
      <c r="AE244" s="11">
        <f>F244*0.746497461928934</f>
        <v>0</v>
      </c>
      <c r="AF244" s="11">
        <f>F244*(1-0.746497461928934)</f>
        <v>0</v>
      </c>
      <c r="AG244" s="7" t="s">
        <v>498</v>
      </c>
      <c r="AM244" s="11">
        <f>E244*AE244</f>
        <v>0</v>
      </c>
      <c r="AN244" s="11">
        <f>E244*AF244</f>
        <v>0</v>
      </c>
      <c r="AO244" s="12" t="s">
        <v>192</v>
      </c>
      <c r="AP244" s="12" t="s">
        <v>225</v>
      </c>
      <c r="AQ244" s="6" t="s">
        <v>234</v>
      </c>
      <c r="AS244" s="11">
        <f>AM244+AN244</f>
        <v>0</v>
      </c>
      <c r="AT244" s="11">
        <f>F244/(100-AU244)*100</f>
        <v>0</v>
      </c>
      <c r="AU244" s="11">
        <v>0</v>
      </c>
      <c r="AV244" s="11">
        <f>K244</f>
        <v>19.434925</v>
      </c>
    </row>
    <row r="245" spans="1:14" ht="12.75">
      <c r="A245" s="39"/>
      <c r="B245" s="39"/>
      <c r="C245" s="63" t="s">
        <v>1475</v>
      </c>
      <c r="D245" s="39"/>
      <c r="E245" s="64">
        <v>3.097</v>
      </c>
      <c r="F245" s="39"/>
      <c r="G245" s="39"/>
      <c r="H245" s="39"/>
      <c r="I245" s="39"/>
      <c r="J245" s="39"/>
      <c r="K245" s="39"/>
      <c r="L245" s="39"/>
      <c r="M245" s="39"/>
      <c r="N245" s="39"/>
    </row>
    <row r="246" spans="1:14" ht="12.75">
      <c r="A246" s="39"/>
      <c r="B246" s="39"/>
      <c r="C246" s="63" t="s">
        <v>1476</v>
      </c>
      <c r="D246" s="39"/>
      <c r="E246" s="64">
        <v>4.6</v>
      </c>
      <c r="F246" s="39"/>
      <c r="G246" s="39"/>
      <c r="H246" s="39"/>
      <c r="I246" s="39"/>
      <c r="J246" s="39"/>
      <c r="K246" s="39"/>
      <c r="L246" s="39"/>
      <c r="M246" s="39"/>
      <c r="N246" s="39"/>
    </row>
    <row r="247" spans="1:48" ht="12.75">
      <c r="A247" s="59" t="s">
        <v>593</v>
      </c>
      <c r="B247" s="59" t="s">
        <v>966</v>
      </c>
      <c r="C247" s="59" t="s">
        <v>1477</v>
      </c>
      <c r="D247" s="59" t="s">
        <v>141</v>
      </c>
      <c r="E247" s="60">
        <v>7.697</v>
      </c>
      <c r="F247" s="61"/>
      <c r="G247" s="61">
        <f>E247*AE247</f>
        <v>0</v>
      </c>
      <c r="H247" s="61">
        <f>I247-G247</f>
        <v>0</v>
      </c>
      <c r="I247" s="61">
        <f>E247*F247</f>
        <v>0</v>
      </c>
      <c r="J247" s="61">
        <v>0</v>
      </c>
      <c r="K247" s="61">
        <f>E247*J247</f>
        <v>0</v>
      </c>
      <c r="L247" s="62" t="s">
        <v>170</v>
      </c>
      <c r="M247" s="39"/>
      <c r="N247" s="39"/>
      <c r="P247" s="11">
        <f>IF(AG247="5",I247,0)</f>
        <v>0</v>
      </c>
      <c r="R247" s="11">
        <f>IF(AG247="1",G247,0)</f>
        <v>0</v>
      </c>
      <c r="S247" s="11">
        <f>IF(AG247="1",H247,0)</f>
        <v>0</v>
      </c>
      <c r="T247" s="11">
        <f>IF(AG247="7",G247,0)</f>
        <v>0</v>
      </c>
      <c r="U247" s="11">
        <f>IF(AG247="7",H247,0)</f>
        <v>0</v>
      </c>
      <c r="V247" s="11">
        <f>IF(AG247="2",G247,0)</f>
        <v>0</v>
      </c>
      <c r="W247" s="11">
        <f>IF(AG247="2",H247,0)</f>
        <v>0</v>
      </c>
      <c r="X247" s="11">
        <f>IF(AG247="0",I247,0)</f>
        <v>0</v>
      </c>
      <c r="Y247" s="6"/>
      <c r="Z247" s="4">
        <f>IF(AD247=0,I247,0)</f>
        <v>0</v>
      </c>
      <c r="AA247" s="4">
        <f>IF(AD247=15,I247,0)</f>
        <v>0</v>
      </c>
      <c r="AB247" s="4">
        <f>IF(AD247=21,I247,0)</f>
        <v>0</v>
      </c>
      <c r="AD247" s="11">
        <v>21</v>
      </c>
      <c r="AE247" s="11">
        <f>F247*0</f>
        <v>0</v>
      </c>
      <c r="AF247" s="11">
        <f>F247*(1-0)</f>
        <v>0</v>
      </c>
      <c r="AG247" s="7" t="s">
        <v>498</v>
      </c>
      <c r="AM247" s="11">
        <f>E247*AE247</f>
        <v>0</v>
      </c>
      <c r="AN247" s="11">
        <f>E247*AF247</f>
        <v>0</v>
      </c>
      <c r="AO247" s="12" t="s">
        <v>192</v>
      </c>
      <c r="AP247" s="12" t="s">
        <v>225</v>
      </c>
      <c r="AQ247" s="6" t="s">
        <v>234</v>
      </c>
      <c r="AS247" s="11">
        <f>AM247+AN247</f>
        <v>0</v>
      </c>
      <c r="AT247" s="11">
        <f>F247/(100-AU247)*100</f>
        <v>0</v>
      </c>
      <c r="AU247" s="11">
        <v>0</v>
      </c>
      <c r="AV247" s="11">
        <f>K247</f>
        <v>0</v>
      </c>
    </row>
    <row r="248" spans="1:14" ht="12.75">
      <c r="A248" s="39"/>
      <c r="B248" s="39"/>
      <c r="C248" s="63" t="s">
        <v>1478</v>
      </c>
      <c r="D248" s="39"/>
      <c r="E248" s="64">
        <v>7.697</v>
      </c>
      <c r="F248" s="39"/>
      <c r="G248" s="39"/>
      <c r="H248" s="39"/>
      <c r="I248" s="39"/>
      <c r="J248" s="39"/>
      <c r="K248" s="39"/>
      <c r="L248" s="39"/>
      <c r="M248" s="39"/>
      <c r="N248" s="39"/>
    </row>
    <row r="249" spans="1:48" ht="12.75">
      <c r="A249" s="59" t="s">
        <v>594</v>
      </c>
      <c r="B249" s="59" t="s">
        <v>967</v>
      </c>
      <c r="C249" s="59" t="s">
        <v>1479</v>
      </c>
      <c r="D249" s="59" t="s">
        <v>141</v>
      </c>
      <c r="E249" s="60">
        <v>7.697</v>
      </c>
      <c r="F249" s="61"/>
      <c r="G249" s="61">
        <f>E249*AE249</f>
        <v>0</v>
      </c>
      <c r="H249" s="61">
        <f>I249-G249</f>
        <v>0</v>
      </c>
      <c r="I249" s="61">
        <f>E249*F249</f>
        <v>0</v>
      </c>
      <c r="J249" s="61">
        <v>0.02</v>
      </c>
      <c r="K249" s="61">
        <f>E249*J249</f>
        <v>0.15394</v>
      </c>
      <c r="L249" s="62" t="s">
        <v>170</v>
      </c>
      <c r="M249" s="39"/>
      <c r="N249" s="39"/>
      <c r="P249" s="11">
        <f>IF(AG249="5",I249,0)</f>
        <v>0</v>
      </c>
      <c r="R249" s="11">
        <f>IF(AG249="1",G249,0)</f>
        <v>0</v>
      </c>
      <c r="S249" s="11">
        <f>IF(AG249="1",H249,0)</f>
        <v>0</v>
      </c>
      <c r="T249" s="11">
        <f>IF(AG249="7",G249,0)</f>
        <v>0</v>
      </c>
      <c r="U249" s="11">
        <f>IF(AG249="7",H249,0)</f>
        <v>0</v>
      </c>
      <c r="V249" s="11">
        <f>IF(AG249="2",G249,0)</f>
        <v>0</v>
      </c>
      <c r="W249" s="11">
        <f>IF(AG249="2",H249,0)</f>
        <v>0</v>
      </c>
      <c r="X249" s="11">
        <f>IF(AG249="0",I249,0)</f>
        <v>0</v>
      </c>
      <c r="Y249" s="6"/>
      <c r="Z249" s="4">
        <f>IF(AD249=0,I249,0)</f>
        <v>0</v>
      </c>
      <c r="AA249" s="4">
        <f>IF(AD249=15,I249,0)</f>
        <v>0</v>
      </c>
      <c r="AB249" s="4">
        <f>IF(AD249=21,I249,0)</f>
        <v>0</v>
      </c>
      <c r="AD249" s="11">
        <v>21</v>
      </c>
      <c r="AE249" s="11">
        <f>F249*0.109981167608286</f>
        <v>0</v>
      </c>
      <c r="AF249" s="11">
        <f>F249*(1-0.109981167608286)</f>
        <v>0</v>
      </c>
      <c r="AG249" s="7" t="s">
        <v>498</v>
      </c>
      <c r="AM249" s="11">
        <f>E249*AE249</f>
        <v>0</v>
      </c>
      <c r="AN249" s="11">
        <f>E249*AF249</f>
        <v>0</v>
      </c>
      <c r="AO249" s="12" t="s">
        <v>192</v>
      </c>
      <c r="AP249" s="12" t="s">
        <v>225</v>
      </c>
      <c r="AQ249" s="6" t="s">
        <v>234</v>
      </c>
      <c r="AS249" s="11">
        <f>AM249+AN249</f>
        <v>0</v>
      </c>
      <c r="AT249" s="11">
        <f>F249/(100-AU249)*100</f>
        <v>0</v>
      </c>
      <c r="AU249" s="11">
        <v>0</v>
      </c>
      <c r="AV249" s="11">
        <f>K249</f>
        <v>0.15394</v>
      </c>
    </row>
    <row r="250" spans="1:14" ht="12.75">
      <c r="A250" s="39"/>
      <c r="B250" s="39"/>
      <c r="C250" s="63" t="s">
        <v>1478</v>
      </c>
      <c r="D250" s="39"/>
      <c r="E250" s="64">
        <v>7.697</v>
      </c>
      <c r="F250" s="39"/>
      <c r="G250" s="39"/>
      <c r="H250" s="39"/>
      <c r="I250" s="39"/>
      <c r="J250" s="39"/>
      <c r="K250" s="39"/>
      <c r="L250" s="39"/>
      <c r="M250" s="39"/>
      <c r="N250" s="39"/>
    </row>
    <row r="251" spans="1:48" ht="12.75">
      <c r="A251" s="59" t="s">
        <v>595</v>
      </c>
      <c r="B251" s="59" t="s">
        <v>968</v>
      </c>
      <c r="C251" s="59" t="s">
        <v>1480</v>
      </c>
      <c r="D251" s="59" t="s">
        <v>143</v>
      </c>
      <c r="E251" s="60">
        <v>0.157</v>
      </c>
      <c r="F251" s="61"/>
      <c r="G251" s="61">
        <f>E251*AE251</f>
        <v>0</v>
      </c>
      <c r="H251" s="61">
        <f>I251-G251</f>
        <v>0</v>
      </c>
      <c r="I251" s="61">
        <f>E251*F251</f>
        <v>0</v>
      </c>
      <c r="J251" s="61">
        <v>1.06625</v>
      </c>
      <c r="K251" s="61">
        <f>E251*J251</f>
        <v>0.16740125</v>
      </c>
      <c r="L251" s="62" t="s">
        <v>170</v>
      </c>
      <c r="M251" s="39"/>
      <c r="N251" s="39"/>
      <c r="P251" s="11">
        <f>IF(AG251="5",I251,0)</f>
        <v>0</v>
      </c>
      <c r="R251" s="11">
        <f>IF(AG251="1",G251,0)</f>
        <v>0</v>
      </c>
      <c r="S251" s="11">
        <f>IF(AG251="1",H251,0)</f>
        <v>0</v>
      </c>
      <c r="T251" s="11">
        <f>IF(AG251="7",G251,0)</f>
        <v>0</v>
      </c>
      <c r="U251" s="11">
        <f>IF(AG251="7",H251,0)</f>
        <v>0</v>
      </c>
      <c r="V251" s="11">
        <f>IF(AG251="2",G251,0)</f>
        <v>0</v>
      </c>
      <c r="W251" s="11">
        <f>IF(AG251="2",H251,0)</f>
        <v>0</v>
      </c>
      <c r="X251" s="11">
        <f>IF(AG251="0",I251,0)</f>
        <v>0</v>
      </c>
      <c r="Y251" s="6"/>
      <c r="Z251" s="4">
        <f>IF(AD251=0,I251,0)</f>
        <v>0</v>
      </c>
      <c r="AA251" s="4">
        <f>IF(AD251=15,I251,0)</f>
        <v>0</v>
      </c>
      <c r="AB251" s="4">
        <f>IF(AD251=21,I251,0)</f>
        <v>0</v>
      </c>
      <c r="AD251" s="11">
        <v>21</v>
      </c>
      <c r="AE251" s="11">
        <f>F251*0.822689539186007</f>
        <v>0</v>
      </c>
      <c r="AF251" s="11">
        <f>F251*(1-0.822689539186007)</f>
        <v>0</v>
      </c>
      <c r="AG251" s="7" t="s">
        <v>498</v>
      </c>
      <c r="AM251" s="11">
        <f>E251*AE251</f>
        <v>0</v>
      </c>
      <c r="AN251" s="11">
        <f>E251*AF251</f>
        <v>0</v>
      </c>
      <c r="AO251" s="12" t="s">
        <v>192</v>
      </c>
      <c r="AP251" s="12" t="s">
        <v>225</v>
      </c>
      <c r="AQ251" s="6" t="s">
        <v>234</v>
      </c>
      <c r="AS251" s="11">
        <f>AM251+AN251</f>
        <v>0</v>
      </c>
      <c r="AT251" s="11">
        <f>F251/(100-AU251)*100</f>
        <v>0</v>
      </c>
      <c r="AU251" s="11">
        <v>0</v>
      </c>
      <c r="AV251" s="11">
        <f>K251</f>
        <v>0.16740125</v>
      </c>
    </row>
    <row r="252" spans="1:14" ht="12.75">
      <c r="A252" s="39"/>
      <c r="B252" s="39"/>
      <c r="C252" s="63" t="s">
        <v>1481</v>
      </c>
      <c r="D252" s="39"/>
      <c r="E252" s="64">
        <v>0.065</v>
      </c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ht="12.75">
      <c r="A253" s="39"/>
      <c r="B253" s="39"/>
      <c r="C253" s="63" t="s">
        <v>1482</v>
      </c>
      <c r="D253" s="39"/>
      <c r="E253" s="64">
        <v>0.092</v>
      </c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1:48" ht="12.75">
      <c r="A254" s="59" t="s">
        <v>596</v>
      </c>
      <c r="B254" s="59" t="s">
        <v>969</v>
      </c>
      <c r="C254" s="59" t="s">
        <v>1483</v>
      </c>
      <c r="D254" s="59" t="s">
        <v>142</v>
      </c>
      <c r="E254" s="60">
        <v>10.725</v>
      </c>
      <c r="F254" s="61"/>
      <c r="G254" s="61">
        <f>E254*AE254</f>
        <v>0</v>
      </c>
      <c r="H254" s="61">
        <f>I254-G254</f>
        <v>0</v>
      </c>
      <c r="I254" s="61">
        <f>E254*F254</f>
        <v>0</v>
      </c>
      <c r="J254" s="61">
        <v>0</v>
      </c>
      <c r="K254" s="61">
        <f>E254*J254</f>
        <v>0</v>
      </c>
      <c r="L254" s="62" t="s">
        <v>170</v>
      </c>
      <c r="M254" s="39"/>
      <c r="N254" s="39"/>
      <c r="P254" s="11">
        <f>IF(AG254="5",I254,0)</f>
        <v>0</v>
      </c>
      <c r="R254" s="11">
        <f>IF(AG254="1",G254,0)</f>
        <v>0</v>
      </c>
      <c r="S254" s="11">
        <f>IF(AG254="1",H254,0)</f>
        <v>0</v>
      </c>
      <c r="T254" s="11">
        <f>IF(AG254="7",G254,0)</f>
        <v>0</v>
      </c>
      <c r="U254" s="11">
        <f>IF(AG254="7",H254,0)</f>
        <v>0</v>
      </c>
      <c r="V254" s="11">
        <f>IF(AG254="2",G254,0)</f>
        <v>0</v>
      </c>
      <c r="W254" s="11">
        <f>IF(AG254="2",H254,0)</f>
        <v>0</v>
      </c>
      <c r="X254" s="11">
        <f>IF(AG254="0",I254,0)</f>
        <v>0</v>
      </c>
      <c r="Y254" s="6"/>
      <c r="Z254" s="4">
        <f>IF(AD254=0,I254,0)</f>
        <v>0</v>
      </c>
      <c r="AA254" s="4">
        <f>IF(AD254=15,I254,0)</f>
        <v>0</v>
      </c>
      <c r="AB254" s="4">
        <f>IF(AD254=21,I254,0)</f>
        <v>0</v>
      </c>
      <c r="AD254" s="11">
        <v>21</v>
      </c>
      <c r="AE254" s="11">
        <f>F254*0.242878244355349</f>
        <v>0</v>
      </c>
      <c r="AF254" s="11">
        <f>F254*(1-0.242878244355349)</f>
        <v>0</v>
      </c>
      <c r="AG254" s="7" t="s">
        <v>498</v>
      </c>
      <c r="AM254" s="11">
        <f>E254*AE254</f>
        <v>0</v>
      </c>
      <c r="AN254" s="11">
        <f>E254*AF254</f>
        <v>0</v>
      </c>
      <c r="AO254" s="12" t="s">
        <v>192</v>
      </c>
      <c r="AP254" s="12" t="s">
        <v>225</v>
      </c>
      <c r="AQ254" s="6" t="s">
        <v>234</v>
      </c>
      <c r="AS254" s="11">
        <f>AM254+AN254</f>
        <v>0</v>
      </c>
      <c r="AT254" s="11">
        <f>F254/(100-AU254)*100</f>
        <v>0</v>
      </c>
      <c r="AU254" s="11">
        <v>0</v>
      </c>
      <c r="AV254" s="11">
        <f>K254</f>
        <v>0</v>
      </c>
    </row>
    <row r="255" spans="1:14" ht="12.75">
      <c r="A255" s="39"/>
      <c r="B255" s="39"/>
      <c r="C255" s="63" t="s">
        <v>1484</v>
      </c>
      <c r="D255" s="39"/>
      <c r="E255" s="64">
        <v>10.725</v>
      </c>
      <c r="F255" s="39"/>
      <c r="G255" s="39"/>
      <c r="H255" s="39"/>
      <c r="I255" s="39"/>
      <c r="J255" s="39"/>
      <c r="K255" s="39"/>
      <c r="L255" s="39"/>
      <c r="M255" s="39"/>
      <c r="N255" s="39"/>
    </row>
    <row r="256" spans="1:48" ht="12.75">
      <c r="A256" s="59" t="s">
        <v>597</v>
      </c>
      <c r="B256" s="59" t="s">
        <v>970</v>
      </c>
      <c r="C256" s="59" t="s">
        <v>1485</v>
      </c>
      <c r="D256" s="59" t="s">
        <v>146</v>
      </c>
      <c r="E256" s="60">
        <v>20.15</v>
      </c>
      <c r="F256" s="61"/>
      <c r="G256" s="61">
        <f>E256*AE256</f>
        <v>0</v>
      </c>
      <c r="H256" s="61">
        <f>I256-G256</f>
        <v>0</v>
      </c>
      <c r="I256" s="61">
        <f>E256*F256</f>
        <v>0</v>
      </c>
      <c r="J256" s="61">
        <v>0.12068</v>
      </c>
      <c r="K256" s="61">
        <f>E256*J256</f>
        <v>2.4317019999999996</v>
      </c>
      <c r="L256" s="62" t="s">
        <v>170</v>
      </c>
      <c r="M256" s="39"/>
      <c r="N256" s="39"/>
      <c r="P256" s="11">
        <f>IF(AG256="5",I256,0)</f>
        <v>0</v>
      </c>
      <c r="R256" s="11">
        <f>IF(AG256="1",G256,0)</f>
        <v>0</v>
      </c>
      <c r="S256" s="11">
        <f>IF(AG256="1",H256,0)</f>
        <v>0</v>
      </c>
      <c r="T256" s="11">
        <f>IF(AG256="7",G256,0)</f>
        <v>0</v>
      </c>
      <c r="U256" s="11">
        <f>IF(AG256="7",H256,0)</f>
        <v>0</v>
      </c>
      <c r="V256" s="11">
        <f>IF(AG256="2",G256,0)</f>
        <v>0</v>
      </c>
      <c r="W256" s="11">
        <f>IF(AG256="2",H256,0)</f>
        <v>0</v>
      </c>
      <c r="X256" s="11">
        <f>IF(AG256="0",I256,0)</f>
        <v>0</v>
      </c>
      <c r="Y256" s="6"/>
      <c r="Z256" s="4">
        <f>IF(AD256=0,I256,0)</f>
        <v>0</v>
      </c>
      <c r="AA256" s="4">
        <f>IF(AD256=15,I256,0)</f>
        <v>0</v>
      </c>
      <c r="AB256" s="4">
        <f>IF(AD256=21,I256,0)</f>
        <v>0</v>
      </c>
      <c r="AD256" s="11">
        <v>21</v>
      </c>
      <c r="AE256" s="11">
        <f>F256*0.745697594863428</f>
        <v>0</v>
      </c>
      <c r="AF256" s="11">
        <f>F256*(1-0.745697594863428)</f>
        <v>0</v>
      </c>
      <c r="AG256" s="7" t="s">
        <v>498</v>
      </c>
      <c r="AM256" s="11">
        <f>E256*AE256</f>
        <v>0</v>
      </c>
      <c r="AN256" s="11">
        <f>E256*AF256</f>
        <v>0</v>
      </c>
      <c r="AO256" s="12" t="s">
        <v>192</v>
      </c>
      <c r="AP256" s="12" t="s">
        <v>225</v>
      </c>
      <c r="AQ256" s="6" t="s">
        <v>234</v>
      </c>
      <c r="AS256" s="11">
        <f>AM256+AN256</f>
        <v>0</v>
      </c>
      <c r="AT256" s="11">
        <f>F256/(100-AU256)*100</f>
        <v>0</v>
      </c>
      <c r="AU256" s="11">
        <v>0</v>
      </c>
      <c r="AV256" s="11">
        <f>K256</f>
        <v>2.4317019999999996</v>
      </c>
    </row>
    <row r="257" spans="1:14" ht="12.75">
      <c r="A257" s="39"/>
      <c r="B257" s="39"/>
      <c r="C257" s="63" t="s">
        <v>1486</v>
      </c>
      <c r="D257" s="39"/>
      <c r="E257" s="64">
        <v>20.15</v>
      </c>
      <c r="F257" s="39"/>
      <c r="G257" s="39"/>
      <c r="H257" s="39"/>
      <c r="I257" s="39"/>
      <c r="J257" s="39"/>
      <c r="K257" s="39"/>
      <c r="L257" s="39"/>
      <c r="M257" s="39"/>
      <c r="N257" s="39"/>
    </row>
    <row r="258" spans="1:48" ht="12.75">
      <c r="A258" s="59" t="s">
        <v>598</v>
      </c>
      <c r="B258" s="59" t="s">
        <v>971</v>
      </c>
      <c r="C258" s="59" t="s">
        <v>1487</v>
      </c>
      <c r="D258" s="59" t="s">
        <v>141</v>
      </c>
      <c r="E258" s="60">
        <v>1.001</v>
      </c>
      <c r="F258" s="61"/>
      <c r="G258" s="61">
        <f>E258*AE258</f>
        <v>0</v>
      </c>
      <c r="H258" s="61">
        <f>I258-G258</f>
        <v>0</v>
      </c>
      <c r="I258" s="61">
        <f>E258*F258</f>
        <v>0</v>
      </c>
      <c r="J258" s="61">
        <v>2.525</v>
      </c>
      <c r="K258" s="61">
        <f>E258*J258</f>
        <v>2.527525</v>
      </c>
      <c r="L258" s="62" t="s">
        <v>170</v>
      </c>
      <c r="M258" s="39"/>
      <c r="N258" s="39"/>
      <c r="P258" s="11">
        <f>IF(AG258="5",I258,0)</f>
        <v>0</v>
      </c>
      <c r="R258" s="11">
        <f>IF(AG258="1",G258,0)</f>
        <v>0</v>
      </c>
      <c r="S258" s="11">
        <f>IF(AG258="1",H258,0)</f>
        <v>0</v>
      </c>
      <c r="T258" s="11">
        <f>IF(AG258="7",G258,0)</f>
        <v>0</v>
      </c>
      <c r="U258" s="11">
        <f>IF(AG258="7",H258,0)</f>
        <v>0</v>
      </c>
      <c r="V258" s="11">
        <f>IF(AG258="2",G258,0)</f>
        <v>0</v>
      </c>
      <c r="W258" s="11">
        <f>IF(AG258="2",H258,0)</f>
        <v>0</v>
      </c>
      <c r="X258" s="11">
        <f>IF(AG258="0",I258,0)</f>
        <v>0</v>
      </c>
      <c r="Y258" s="6"/>
      <c r="Z258" s="4">
        <f>IF(AD258=0,I258,0)</f>
        <v>0</v>
      </c>
      <c r="AA258" s="4">
        <f>IF(AD258=15,I258,0)</f>
        <v>0</v>
      </c>
      <c r="AB258" s="4">
        <f>IF(AD258=21,I258,0)</f>
        <v>0</v>
      </c>
      <c r="AD258" s="11">
        <v>21</v>
      </c>
      <c r="AE258" s="11">
        <f>F258*0.772901694915254</f>
        <v>0</v>
      </c>
      <c r="AF258" s="11">
        <f>F258*(1-0.772901694915254)</f>
        <v>0</v>
      </c>
      <c r="AG258" s="7" t="s">
        <v>498</v>
      </c>
      <c r="AM258" s="11">
        <f>E258*AE258</f>
        <v>0</v>
      </c>
      <c r="AN258" s="11">
        <f>E258*AF258</f>
        <v>0</v>
      </c>
      <c r="AO258" s="12" t="s">
        <v>192</v>
      </c>
      <c r="AP258" s="12" t="s">
        <v>225</v>
      </c>
      <c r="AQ258" s="6" t="s">
        <v>234</v>
      </c>
      <c r="AS258" s="11">
        <f>AM258+AN258</f>
        <v>0</v>
      </c>
      <c r="AT258" s="11">
        <f>F258/(100-AU258)*100</f>
        <v>0</v>
      </c>
      <c r="AU258" s="11">
        <v>0</v>
      </c>
      <c r="AV258" s="11">
        <f>K258</f>
        <v>2.527525</v>
      </c>
    </row>
    <row r="259" spans="1:14" ht="12.75">
      <c r="A259" s="39"/>
      <c r="B259" s="39"/>
      <c r="C259" s="63" t="s">
        <v>1488</v>
      </c>
      <c r="D259" s="39"/>
      <c r="E259" s="64">
        <v>1.001</v>
      </c>
      <c r="F259" s="39"/>
      <c r="G259" s="39"/>
      <c r="H259" s="39"/>
      <c r="I259" s="39"/>
      <c r="J259" s="39"/>
      <c r="K259" s="39"/>
      <c r="L259" s="39"/>
      <c r="M259" s="39"/>
      <c r="N259" s="39"/>
    </row>
    <row r="260" spans="1:48" ht="12.75">
      <c r="A260" s="59" t="s">
        <v>599</v>
      </c>
      <c r="B260" s="59" t="s">
        <v>972</v>
      </c>
      <c r="C260" s="59" t="s">
        <v>1489</v>
      </c>
      <c r="D260" s="59" t="s">
        <v>141</v>
      </c>
      <c r="E260" s="60">
        <v>1.001</v>
      </c>
      <c r="F260" s="61"/>
      <c r="G260" s="61">
        <f>E260*AE260</f>
        <v>0</v>
      </c>
      <c r="H260" s="61">
        <f>I260-G260</f>
        <v>0</v>
      </c>
      <c r="I260" s="61">
        <f>E260*F260</f>
        <v>0</v>
      </c>
      <c r="J260" s="61">
        <v>0</v>
      </c>
      <c r="K260" s="61">
        <f>E260*J260</f>
        <v>0</v>
      </c>
      <c r="L260" s="62" t="s">
        <v>170</v>
      </c>
      <c r="M260" s="39"/>
      <c r="N260" s="39"/>
      <c r="P260" s="11">
        <f>IF(AG260="5",I260,0)</f>
        <v>0</v>
      </c>
      <c r="R260" s="11">
        <f>IF(AG260="1",G260,0)</f>
        <v>0</v>
      </c>
      <c r="S260" s="11">
        <f>IF(AG260="1",H260,0)</f>
        <v>0</v>
      </c>
      <c r="T260" s="11">
        <f>IF(AG260="7",G260,0)</f>
        <v>0</v>
      </c>
      <c r="U260" s="11">
        <f>IF(AG260="7",H260,0)</f>
        <v>0</v>
      </c>
      <c r="V260" s="11">
        <f>IF(AG260="2",G260,0)</f>
        <v>0</v>
      </c>
      <c r="W260" s="11">
        <f>IF(AG260="2",H260,0)</f>
        <v>0</v>
      </c>
      <c r="X260" s="11">
        <f>IF(AG260="0",I260,0)</f>
        <v>0</v>
      </c>
      <c r="Y260" s="6"/>
      <c r="Z260" s="4">
        <f>IF(AD260=0,I260,0)</f>
        <v>0</v>
      </c>
      <c r="AA260" s="4">
        <f>IF(AD260=15,I260,0)</f>
        <v>0</v>
      </c>
      <c r="AB260" s="4">
        <f>IF(AD260=21,I260,0)</f>
        <v>0</v>
      </c>
      <c r="AD260" s="11">
        <v>21</v>
      </c>
      <c r="AE260" s="11">
        <f>F260*0</f>
        <v>0</v>
      </c>
      <c r="AF260" s="11">
        <f>F260*(1-0)</f>
        <v>0</v>
      </c>
      <c r="AG260" s="7" t="s">
        <v>498</v>
      </c>
      <c r="AM260" s="11">
        <f>E260*AE260</f>
        <v>0</v>
      </c>
      <c r="AN260" s="11">
        <f>E260*AF260</f>
        <v>0</v>
      </c>
      <c r="AO260" s="12" t="s">
        <v>192</v>
      </c>
      <c r="AP260" s="12" t="s">
        <v>225</v>
      </c>
      <c r="AQ260" s="6" t="s">
        <v>234</v>
      </c>
      <c r="AS260" s="11">
        <f>AM260+AN260</f>
        <v>0</v>
      </c>
      <c r="AT260" s="11">
        <f>F260/(100-AU260)*100</f>
        <v>0</v>
      </c>
      <c r="AU260" s="11">
        <v>0</v>
      </c>
      <c r="AV260" s="11">
        <f>K260</f>
        <v>0</v>
      </c>
    </row>
    <row r="261" spans="1:14" ht="12.75">
      <c r="A261" s="39"/>
      <c r="B261" s="39"/>
      <c r="C261" s="63" t="s">
        <v>1490</v>
      </c>
      <c r="D261" s="39"/>
      <c r="E261" s="64">
        <v>1.001</v>
      </c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48" ht="12.75">
      <c r="A262" s="59" t="s">
        <v>600</v>
      </c>
      <c r="B262" s="59" t="s">
        <v>968</v>
      </c>
      <c r="C262" s="59" t="s">
        <v>1480</v>
      </c>
      <c r="D262" s="59" t="s">
        <v>143</v>
      </c>
      <c r="E262" s="60">
        <v>0.013</v>
      </c>
      <c r="F262" s="61"/>
      <c r="G262" s="61">
        <f>E262*AE262</f>
        <v>0</v>
      </c>
      <c r="H262" s="61">
        <f>I262-G262</f>
        <v>0</v>
      </c>
      <c r="I262" s="61">
        <f>E262*F262</f>
        <v>0</v>
      </c>
      <c r="J262" s="61">
        <v>1.06625</v>
      </c>
      <c r="K262" s="61">
        <f>E262*J262</f>
        <v>0.013861249999999999</v>
      </c>
      <c r="L262" s="62" t="s">
        <v>170</v>
      </c>
      <c r="M262" s="39"/>
      <c r="N262" s="39"/>
      <c r="P262" s="11">
        <f>IF(AG262="5",I262,0)</f>
        <v>0</v>
      </c>
      <c r="R262" s="11">
        <f>IF(AG262="1",G262,0)</f>
        <v>0</v>
      </c>
      <c r="S262" s="11">
        <f>IF(AG262="1",H262,0)</f>
        <v>0</v>
      </c>
      <c r="T262" s="11">
        <f>IF(AG262="7",G262,0)</f>
        <v>0</v>
      </c>
      <c r="U262" s="11">
        <f>IF(AG262="7",H262,0)</f>
        <v>0</v>
      </c>
      <c r="V262" s="11">
        <f>IF(AG262="2",G262,0)</f>
        <v>0</v>
      </c>
      <c r="W262" s="11">
        <f>IF(AG262="2",H262,0)</f>
        <v>0</v>
      </c>
      <c r="X262" s="11">
        <f>IF(AG262="0",I262,0)</f>
        <v>0</v>
      </c>
      <c r="Y262" s="6"/>
      <c r="Z262" s="4">
        <f>IF(AD262=0,I262,0)</f>
        <v>0</v>
      </c>
      <c r="AA262" s="4">
        <f>IF(AD262=15,I262,0)</f>
        <v>0</v>
      </c>
      <c r="AB262" s="4">
        <f>IF(AD262=21,I262,0)</f>
        <v>0</v>
      </c>
      <c r="AD262" s="11">
        <v>21</v>
      </c>
      <c r="AE262" s="11">
        <f>F262*0.822689539186007</f>
        <v>0</v>
      </c>
      <c r="AF262" s="11">
        <f>F262*(1-0.822689539186007)</f>
        <v>0</v>
      </c>
      <c r="AG262" s="7" t="s">
        <v>498</v>
      </c>
      <c r="AM262" s="11">
        <f>E262*AE262</f>
        <v>0</v>
      </c>
      <c r="AN262" s="11">
        <f>E262*AF262</f>
        <v>0</v>
      </c>
      <c r="AO262" s="12" t="s">
        <v>192</v>
      </c>
      <c r="AP262" s="12" t="s">
        <v>225</v>
      </c>
      <c r="AQ262" s="6" t="s">
        <v>234</v>
      </c>
      <c r="AS262" s="11">
        <f>AM262+AN262</f>
        <v>0</v>
      </c>
      <c r="AT262" s="11">
        <f>F262/(100-AU262)*100</f>
        <v>0</v>
      </c>
      <c r="AU262" s="11">
        <v>0</v>
      </c>
      <c r="AV262" s="11">
        <f>K262</f>
        <v>0.013861249999999999</v>
      </c>
    </row>
    <row r="263" spans="1:14" ht="12.75">
      <c r="A263" s="39"/>
      <c r="B263" s="39"/>
      <c r="C263" s="63" t="s">
        <v>1491</v>
      </c>
      <c r="D263" s="39"/>
      <c r="E263" s="64">
        <v>0.013</v>
      </c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48" ht="12.75">
      <c r="A264" s="59" t="s">
        <v>601</v>
      </c>
      <c r="B264" s="59" t="s">
        <v>973</v>
      </c>
      <c r="C264" s="59" t="s">
        <v>1492</v>
      </c>
      <c r="D264" s="59" t="s">
        <v>142</v>
      </c>
      <c r="E264" s="60">
        <v>223.3</v>
      </c>
      <c r="F264" s="61"/>
      <c r="G264" s="61">
        <f>E264*AE264</f>
        <v>0</v>
      </c>
      <c r="H264" s="61">
        <f>I264-G264</f>
        <v>0</v>
      </c>
      <c r="I264" s="61">
        <f>E264*F264</f>
        <v>0</v>
      </c>
      <c r="J264" s="61">
        <v>0</v>
      </c>
      <c r="K264" s="61">
        <f>E264*J264</f>
        <v>0</v>
      </c>
      <c r="L264" s="62" t="s">
        <v>170</v>
      </c>
      <c r="M264" s="39"/>
      <c r="N264" s="39"/>
      <c r="P264" s="11">
        <f>IF(AG264="5",I264,0)</f>
        <v>0</v>
      </c>
      <c r="R264" s="11">
        <f>IF(AG264="1",G264,0)</f>
        <v>0</v>
      </c>
      <c r="S264" s="11">
        <f>IF(AG264="1",H264,0)</f>
        <v>0</v>
      </c>
      <c r="T264" s="11">
        <f>IF(AG264="7",G264,0)</f>
        <v>0</v>
      </c>
      <c r="U264" s="11">
        <f>IF(AG264="7",H264,0)</f>
        <v>0</v>
      </c>
      <c r="V264" s="11">
        <f>IF(AG264="2",G264,0)</f>
        <v>0</v>
      </c>
      <c r="W264" s="11">
        <f>IF(AG264="2",H264,0)</f>
        <v>0</v>
      </c>
      <c r="X264" s="11">
        <f>IF(AG264="0",I264,0)</f>
        <v>0</v>
      </c>
      <c r="Y264" s="6"/>
      <c r="Z264" s="4">
        <f>IF(AD264=0,I264,0)</f>
        <v>0</v>
      </c>
      <c r="AA264" s="4">
        <f>IF(AD264=15,I264,0)</f>
        <v>0</v>
      </c>
      <c r="AB264" s="4">
        <f>IF(AD264=21,I264,0)</f>
        <v>0</v>
      </c>
      <c r="AD264" s="11">
        <v>21</v>
      </c>
      <c r="AE264" s="11">
        <f>F264*0</f>
        <v>0</v>
      </c>
      <c r="AF264" s="11">
        <f>F264*(1-0)</f>
        <v>0</v>
      </c>
      <c r="AG264" s="7" t="s">
        <v>498</v>
      </c>
      <c r="AM264" s="11">
        <f>E264*AE264</f>
        <v>0</v>
      </c>
      <c r="AN264" s="11">
        <f>E264*AF264</f>
        <v>0</v>
      </c>
      <c r="AO264" s="12" t="s">
        <v>192</v>
      </c>
      <c r="AP264" s="12" t="s">
        <v>225</v>
      </c>
      <c r="AQ264" s="6" t="s">
        <v>234</v>
      </c>
      <c r="AS264" s="11">
        <f>AM264+AN264</f>
        <v>0</v>
      </c>
      <c r="AT264" s="11">
        <f>F264/(100-AU264)*100</f>
        <v>0</v>
      </c>
      <c r="AU264" s="11">
        <v>0</v>
      </c>
      <c r="AV264" s="11">
        <f>K264</f>
        <v>0</v>
      </c>
    </row>
    <row r="265" spans="1:14" ht="12.75">
      <c r="A265" s="39"/>
      <c r="B265" s="39"/>
      <c r="C265" s="63" t="s">
        <v>1493</v>
      </c>
      <c r="D265" s="39"/>
      <c r="E265" s="64">
        <v>223.3</v>
      </c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37" ht="12.75">
      <c r="A266" s="66"/>
      <c r="B266" s="67" t="s">
        <v>561</v>
      </c>
      <c r="C266" s="305" t="s">
        <v>1494</v>
      </c>
      <c r="D266" s="306"/>
      <c r="E266" s="306"/>
      <c r="F266" s="306"/>
      <c r="G266" s="68">
        <f>SUM(G267:G275)</f>
        <v>0</v>
      </c>
      <c r="H266" s="68">
        <f>SUM(H267:H275)</f>
        <v>0</v>
      </c>
      <c r="I266" s="68">
        <f>G266+H266</f>
        <v>0</v>
      </c>
      <c r="J266" s="69"/>
      <c r="K266" s="68">
        <f>SUM(K267:K275)</f>
        <v>0.5262357</v>
      </c>
      <c r="L266" s="69"/>
      <c r="M266" s="39"/>
      <c r="N266" s="39"/>
      <c r="Y266" s="6"/>
      <c r="AI266" s="13">
        <f>SUM(Z267:Z275)</f>
        <v>0</v>
      </c>
      <c r="AJ266" s="13">
        <f>SUM(AA267:AA275)</f>
        <v>0</v>
      </c>
      <c r="AK266" s="13">
        <f>SUM(AB267:AB275)</f>
        <v>0</v>
      </c>
    </row>
    <row r="267" spans="1:48" ht="12.75">
      <c r="A267" s="59" t="s">
        <v>602</v>
      </c>
      <c r="B267" s="59" t="s">
        <v>974</v>
      </c>
      <c r="C267" s="59" t="s">
        <v>1495</v>
      </c>
      <c r="D267" s="59" t="s">
        <v>146</v>
      </c>
      <c r="E267" s="60">
        <v>26.07</v>
      </c>
      <c r="F267" s="61"/>
      <c r="G267" s="61">
        <f>E267*AE267</f>
        <v>0</v>
      </c>
      <c r="H267" s="61">
        <f>I267-G267</f>
        <v>0</v>
      </c>
      <c r="I267" s="61">
        <f>E267*F267</f>
        <v>0</v>
      </c>
      <c r="J267" s="61">
        <v>0.00551</v>
      </c>
      <c r="K267" s="61">
        <f>E267*J267</f>
        <v>0.14364570000000002</v>
      </c>
      <c r="L267" s="62" t="s">
        <v>170</v>
      </c>
      <c r="M267" s="39"/>
      <c r="N267" s="39"/>
      <c r="P267" s="11">
        <f>IF(AG267="5",I267,0)</f>
        <v>0</v>
      </c>
      <c r="R267" s="11">
        <f>IF(AG267="1",G267,0)</f>
        <v>0</v>
      </c>
      <c r="S267" s="11">
        <f>IF(AG267="1",H267,0)</f>
        <v>0</v>
      </c>
      <c r="T267" s="11">
        <f>IF(AG267="7",G267,0)</f>
        <v>0</v>
      </c>
      <c r="U267" s="11">
        <f>IF(AG267="7",H267,0)</f>
        <v>0</v>
      </c>
      <c r="V267" s="11">
        <f>IF(AG267="2",G267,0)</f>
        <v>0</v>
      </c>
      <c r="W267" s="11">
        <f>IF(AG267="2",H267,0)</f>
        <v>0</v>
      </c>
      <c r="X267" s="11">
        <f>IF(AG267="0",I267,0)</f>
        <v>0</v>
      </c>
      <c r="Y267" s="6"/>
      <c r="Z267" s="4">
        <f>IF(AD267=0,I267,0)</f>
        <v>0</v>
      </c>
      <c r="AA267" s="4">
        <f>IF(AD267=15,I267,0)</f>
        <v>0</v>
      </c>
      <c r="AB267" s="4">
        <f>IF(AD267=21,I267,0)</f>
        <v>0</v>
      </c>
      <c r="AD267" s="11">
        <v>21</v>
      </c>
      <c r="AE267" s="11">
        <f>F267*0.545496894409938</f>
        <v>0</v>
      </c>
      <c r="AF267" s="11">
        <f>F267*(1-0.545496894409938)</f>
        <v>0</v>
      </c>
      <c r="AG267" s="7" t="s">
        <v>498</v>
      </c>
      <c r="AM267" s="11">
        <f>E267*AE267</f>
        <v>0</v>
      </c>
      <c r="AN267" s="11">
        <f>E267*AF267</f>
        <v>0</v>
      </c>
      <c r="AO267" s="12" t="s">
        <v>193</v>
      </c>
      <c r="AP267" s="12" t="s">
        <v>225</v>
      </c>
      <c r="AQ267" s="6" t="s">
        <v>234</v>
      </c>
      <c r="AS267" s="11">
        <f>AM267+AN267</f>
        <v>0</v>
      </c>
      <c r="AT267" s="11">
        <f>F267/(100-AU267)*100</f>
        <v>0</v>
      </c>
      <c r="AU267" s="11">
        <v>0</v>
      </c>
      <c r="AV267" s="11">
        <f>K267</f>
        <v>0.14364570000000002</v>
      </c>
    </row>
    <row r="268" spans="1:14" ht="12.75">
      <c r="A268" s="39"/>
      <c r="B268" s="39"/>
      <c r="C268" s="63" t="s">
        <v>1496</v>
      </c>
      <c r="D268" s="39"/>
      <c r="E268" s="64">
        <v>26.07</v>
      </c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48" ht="12.75">
      <c r="A269" s="59" t="s">
        <v>603</v>
      </c>
      <c r="B269" s="59" t="s">
        <v>975</v>
      </c>
      <c r="C269" s="59" t="s">
        <v>1497</v>
      </c>
      <c r="D269" s="59" t="s">
        <v>146</v>
      </c>
      <c r="E269" s="60">
        <v>3</v>
      </c>
      <c r="F269" s="61"/>
      <c r="G269" s="61">
        <f>E269*AE269</f>
        <v>0</v>
      </c>
      <c r="H269" s="61">
        <f>I269-G269</f>
        <v>0</v>
      </c>
      <c r="I269" s="61">
        <f>E269*F269</f>
        <v>0</v>
      </c>
      <c r="J269" s="61">
        <v>0.00421</v>
      </c>
      <c r="K269" s="61">
        <f>E269*J269</f>
        <v>0.01263</v>
      </c>
      <c r="L269" s="62" t="s">
        <v>170</v>
      </c>
      <c r="M269" s="39"/>
      <c r="N269" s="39"/>
      <c r="P269" s="11">
        <f>IF(AG269="5",I269,0)</f>
        <v>0</v>
      </c>
      <c r="R269" s="11">
        <f>IF(AG269="1",G269,0)</f>
        <v>0</v>
      </c>
      <c r="S269" s="11">
        <f>IF(AG269="1",H269,0)</f>
        <v>0</v>
      </c>
      <c r="T269" s="11">
        <f>IF(AG269="7",G269,0)</f>
        <v>0</v>
      </c>
      <c r="U269" s="11">
        <f>IF(AG269="7",H269,0)</f>
        <v>0</v>
      </c>
      <c r="V269" s="11">
        <f>IF(AG269="2",G269,0)</f>
        <v>0</v>
      </c>
      <c r="W269" s="11">
        <f>IF(AG269="2",H269,0)</f>
        <v>0</v>
      </c>
      <c r="X269" s="11">
        <f>IF(AG269="0",I269,0)</f>
        <v>0</v>
      </c>
      <c r="Y269" s="6"/>
      <c r="Z269" s="4">
        <f>IF(AD269=0,I269,0)</f>
        <v>0</v>
      </c>
      <c r="AA269" s="4">
        <f>IF(AD269=15,I269,0)</f>
        <v>0</v>
      </c>
      <c r="AB269" s="4">
        <f>IF(AD269=21,I269,0)</f>
        <v>0</v>
      </c>
      <c r="AD269" s="11">
        <v>21</v>
      </c>
      <c r="AE269" s="11">
        <f>F269*0.522144249512671</f>
        <v>0</v>
      </c>
      <c r="AF269" s="11">
        <f>F269*(1-0.522144249512671)</f>
        <v>0</v>
      </c>
      <c r="AG269" s="7" t="s">
        <v>498</v>
      </c>
      <c r="AM269" s="11">
        <f>E269*AE269</f>
        <v>0</v>
      </c>
      <c r="AN269" s="11">
        <f>E269*AF269</f>
        <v>0</v>
      </c>
      <c r="AO269" s="12" t="s">
        <v>193</v>
      </c>
      <c r="AP269" s="12" t="s">
        <v>225</v>
      </c>
      <c r="AQ269" s="6" t="s">
        <v>234</v>
      </c>
      <c r="AS269" s="11">
        <f>AM269+AN269</f>
        <v>0</v>
      </c>
      <c r="AT269" s="11">
        <f>F269/(100-AU269)*100</f>
        <v>0</v>
      </c>
      <c r="AU269" s="11">
        <v>0</v>
      </c>
      <c r="AV269" s="11">
        <f>K269</f>
        <v>0.01263</v>
      </c>
    </row>
    <row r="270" spans="1:14" ht="12.75">
      <c r="A270" s="39"/>
      <c r="B270" s="39"/>
      <c r="C270" s="63" t="s">
        <v>1498</v>
      </c>
      <c r="D270" s="39"/>
      <c r="E270" s="64">
        <v>3</v>
      </c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48" ht="12.75">
      <c r="A271" s="59" t="s">
        <v>604</v>
      </c>
      <c r="B271" s="59" t="s">
        <v>976</v>
      </c>
      <c r="C271" s="59" t="s">
        <v>1499</v>
      </c>
      <c r="D271" s="59" t="s">
        <v>144</v>
      </c>
      <c r="E271" s="60">
        <v>4</v>
      </c>
      <c r="F271" s="61"/>
      <c r="G271" s="61">
        <f>E271*AE271</f>
        <v>0</v>
      </c>
      <c r="H271" s="61">
        <f>I271-G271</f>
        <v>0</v>
      </c>
      <c r="I271" s="61">
        <f>E271*F271</f>
        <v>0</v>
      </c>
      <c r="J271" s="61">
        <v>0.03055</v>
      </c>
      <c r="K271" s="61">
        <f>E271*J271</f>
        <v>0.1222</v>
      </c>
      <c r="L271" s="62" t="s">
        <v>170</v>
      </c>
      <c r="M271" s="39"/>
      <c r="N271" s="39"/>
      <c r="P271" s="11">
        <f>IF(AG271="5",I271,0)</f>
        <v>0</v>
      </c>
      <c r="R271" s="11">
        <f>IF(AG271="1",G271,0)</f>
        <v>0</v>
      </c>
      <c r="S271" s="11">
        <f>IF(AG271="1",H271,0)</f>
        <v>0</v>
      </c>
      <c r="T271" s="11">
        <f>IF(AG271="7",G271,0)</f>
        <v>0</v>
      </c>
      <c r="U271" s="11">
        <f>IF(AG271="7",H271,0)</f>
        <v>0</v>
      </c>
      <c r="V271" s="11">
        <f>IF(AG271="2",G271,0)</f>
        <v>0</v>
      </c>
      <c r="W271" s="11">
        <f>IF(AG271="2",H271,0)</f>
        <v>0</v>
      </c>
      <c r="X271" s="11">
        <f>IF(AG271="0",I271,0)</f>
        <v>0</v>
      </c>
      <c r="Y271" s="6"/>
      <c r="Z271" s="4">
        <f>IF(AD271=0,I271,0)</f>
        <v>0</v>
      </c>
      <c r="AA271" s="4">
        <f>IF(AD271=15,I271,0)</f>
        <v>0</v>
      </c>
      <c r="AB271" s="4">
        <f>IF(AD271=21,I271,0)</f>
        <v>0</v>
      </c>
      <c r="AD271" s="11">
        <v>21</v>
      </c>
      <c r="AE271" s="11">
        <f>F271*0.503126436781609</f>
        <v>0</v>
      </c>
      <c r="AF271" s="11">
        <f>F271*(1-0.503126436781609)</f>
        <v>0</v>
      </c>
      <c r="AG271" s="7" t="s">
        <v>498</v>
      </c>
      <c r="AM271" s="11">
        <f>E271*AE271</f>
        <v>0</v>
      </c>
      <c r="AN271" s="11">
        <f>E271*AF271</f>
        <v>0</v>
      </c>
      <c r="AO271" s="12" t="s">
        <v>193</v>
      </c>
      <c r="AP271" s="12" t="s">
        <v>225</v>
      </c>
      <c r="AQ271" s="6" t="s">
        <v>234</v>
      </c>
      <c r="AS271" s="11">
        <f>AM271+AN271</f>
        <v>0</v>
      </c>
      <c r="AT271" s="11">
        <f>F271/(100-AU271)*100</f>
        <v>0</v>
      </c>
      <c r="AU271" s="11">
        <v>0</v>
      </c>
      <c r="AV271" s="11">
        <f>K271</f>
        <v>0.1222</v>
      </c>
    </row>
    <row r="272" spans="1:14" ht="12.75">
      <c r="A272" s="39"/>
      <c r="B272" s="39"/>
      <c r="C272" s="63" t="s">
        <v>501</v>
      </c>
      <c r="D272" s="39"/>
      <c r="E272" s="64">
        <v>4</v>
      </c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48" ht="12.75">
      <c r="A273" s="59" t="s">
        <v>605</v>
      </c>
      <c r="B273" s="59" t="s">
        <v>977</v>
      </c>
      <c r="C273" s="59" t="s">
        <v>1500</v>
      </c>
      <c r="D273" s="59" t="s">
        <v>144</v>
      </c>
      <c r="E273" s="60">
        <v>4</v>
      </c>
      <c r="F273" s="61"/>
      <c r="G273" s="61">
        <f>E273*AE273</f>
        <v>0</v>
      </c>
      <c r="H273" s="61">
        <f>I273-G273</f>
        <v>0</v>
      </c>
      <c r="I273" s="61">
        <f>E273*F273</f>
        <v>0</v>
      </c>
      <c r="J273" s="61">
        <v>0.03083</v>
      </c>
      <c r="K273" s="61">
        <f>E273*J273</f>
        <v>0.12332</v>
      </c>
      <c r="L273" s="62" t="s">
        <v>170</v>
      </c>
      <c r="M273" s="39"/>
      <c r="N273" s="39"/>
      <c r="P273" s="11">
        <f>IF(AG273="5",I273,0)</f>
        <v>0</v>
      </c>
      <c r="R273" s="11">
        <f>IF(AG273="1",G273,0)</f>
        <v>0</v>
      </c>
      <c r="S273" s="11">
        <f>IF(AG273="1",H273,0)</f>
        <v>0</v>
      </c>
      <c r="T273" s="11">
        <f>IF(AG273="7",G273,0)</f>
        <v>0</v>
      </c>
      <c r="U273" s="11">
        <f>IF(AG273="7",H273,0)</f>
        <v>0</v>
      </c>
      <c r="V273" s="11">
        <f>IF(AG273="2",G273,0)</f>
        <v>0</v>
      </c>
      <c r="W273" s="11">
        <f>IF(AG273="2",H273,0)</f>
        <v>0</v>
      </c>
      <c r="X273" s="11">
        <f>IF(AG273="0",I273,0)</f>
        <v>0</v>
      </c>
      <c r="Y273" s="6"/>
      <c r="Z273" s="4">
        <f>IF(AD273=0,I273,0)</f>
        <v>0</v>
      </c>
      <c r="AA273" s="4">
        <f>IF(AD273=15,I273,0)</f>
        <v>0</v>
      </c>
      <c r="AB273" s="4">
        <f>IF(AD273=21,I273,0)</f>
        <v>0</v>
      </c>
      <c r="AD273" s="11">
        <v>21</v>
      </c>
      <c r="AE273" s="11">
        <f>F273*0.508400303260045</f>
        <v>0</v>
      </c>
      <c r="AF273" s="11">
        <f>F273*(1-0.508400303260045)</f>
        <v>0</v>
      </c>
      <c r="AG273" s="7" t="s">
        <v>498</v>
      </c>
      <c r="AM273" s="11">
        <f>E273*AE273</f>
        <v>0</v>
      </c>
      <c r="AN273" s="11">
        <f>E273*AF273</f>
        <v>0</v>
      </c>
      <c r="AO273" s="12" t="s">
        <v>193</v>
      </c>
      <c r="AP273" s="12" t="s">
        <v>225</v>
      </c>
      <c r="AQ273" s="6" t="s">
        <v>234</v>
      </c>
      <c r="AS273" s="11">
        <f>AM273+AN273</f>
        <v>0</v>
      </c>
      <c r="AT273" s="11">
        <f>F273/(100-AU273)*100</f>
        <v>0</v>
      </c>
      <c r="AU273" s="11">
        <v>0</v>
      </c>
      <c r="AV273" s="11">
        <f>K273</f>
        <v>0.12332</v>
      </c>
    </row>
    <row r="274" spans="1:14" ht="12.75">
      <c r="A274" s="39"/>
      <c r="B274" s="39"/>
      <c r="C274" s="63" t="s">
        <v>501</v>
      </c>
      <c r="D274" s="39"/>
      <c r="E274" s="64">
        <v>4</v>
      </c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48" ht="12.75">
      <c r="A275" s="59" t="s">
        <v>606</v>
      </c>
      <c r="B275" s="59" t="s">
        <v>978</v>
      </c>
      <c r="C275" s="59" t="s">
        <v>1501</v>
      </c>
      <c r="D275" s="59" t="s">
        <v>144</v>
      </c>
      <c r="E275" s="60">
        <v>4</v>
      </c>
      <c r="F275" s="61"/>
      <c r="G275" s="61">
        <f>E275*AE275</f>
        <v>0</v>
      </c>
      <c r="H275" s="61">
        <f>I275-G275</f>
        <v>0</v>
      </c>
      <c r="I275" s="61">
        <f>E275*F275</f>
        <v>0</v>
      </c>
      <c r="J275" s="61">
        <v>0.03111</v>
      </c>
      <c r="K275" s="61">
        <f>E275*J275</f>
        <v>0.12444</v>
      </c>
      <c r="L275" s="62" t="s">
        <v>170</v>
      </c>
      <c r="M275" s="39"/>
      <c r="N275" s="39"/>
      <c r="P275" s="11">
        <f>IF(AG275="5",I275,0)</f>
        <v>0</v>
      </c>
      <c r="R275" s="11">
        <f>IF(AG275="1",G275,0)</f>
        <v>0</v>
      </c>
      <c r="S275" s="11">
        <f>IF(AG275="1",H275,0)</f>
        <v>0</v>
      </c>
      <c r="T275" s="11">
        <f>IF(AG275="7",G275,0)</f>
        <v>0</v>
      </c>
      <c r="U275" s="11">
        <f>IF(AG275="7",H275,0)</f>
        <v>0</v>
      </c>
      <c r="V275" s="11">
        <f>IF(AG275="2",G275,0)</f>
        <v>0</v>
      </c>
      <c r="W275" s="11">
        <f>IF(AG275="2",H275,0)</f>
        <v>0</v>
      </c>
      <c r="X275" s="11">
        <f>IF(AG275="0",I275,0)</f>
        <v>0</v>
      </c>
      <c r="Y275" s="6"/>
      <c r="Z275" s="4">
        <f>IF(AD275=0,I275,0)</f>
        <v>0</v>
      </c>
      <c r="AA275" s="4">
        <f>IF(AD275=15,I275,0)</f>
        <v>0</v>
      </c>
      <c r="AB275" s="4">
        <f>IF(AD275=21,I275,0)</f>
        <v>0</v>
      </c>
      <c r="AD275" s="11">
        <v>21</v>
      </c>
      <c r="AE275" s="11">
        <f>F275*0.511731927710843</f>
        <v>0</v>
      </c>
      <c r="AF275" s="11">
        <f>F275*(1-0.511731927710843)</f>
        <v>0</v>
      </c>
      <c r="AG275" s="7" t="s">
        <v>498</v>
      </c>
      <c r="AM275" s="11">
        <f>E275*AE275</f>
        <v>0</v>
      </c>
      <c r="AN275" s="11">
        <f>E275*AF275</f>
        <v>0</v>
      </c>
      <c r="AO275" s="12" t="s">
        <v>193</v>
      </c>
      <c r="AP275" s="12" t="s">
        <v>225</v>
      </c>
      <c r="AQ275" s="6" t="s">
        <v>234</v>
      </c>
      <c r="AS275" s="11">
        <f>AM275+AN275</f>
        <v>0</v>
      </c>
      <c r="AT275" s="11">
        <f>F275/(100-AU275)*100</f>
        <v>0</v>
      </c>
      <c r="AU275" s="11">
        <v>0</v>
      </c>
      <c r="AV275" s="11">
        <f>K275</f>
        <v>0.12444</v>
      </c>
    </row>
    <row r="276" spans="1:14" ht="12.75">
      <c r="A276" s="39"/>
      <c r="B276" s="39"/>
      <c r="C276" s="63" t="s">
        <v>501</v>
      </c>
      <c r="D276" s="39"/>
      <c r="E276" s="64">
        <v>4</v>
      </c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37" ht="12.75">
      <c r="A277" s="66"/>
      <c r="B277" s="67" t="s">
        <v>979</v>
      </c>
      <c r="C277" s="305" t="s">
        <v>1502</v>
      </c>
      <c r="D277" s="306"/>
      <c r="E277" s="306"/>
      <c r="F277" s="306"/>
      <c r="G277" s="68">
        <f>SUM(G278:G300)</f>
        <v>0</v>
      </c>
      <c r="H277" s="68">
        <f>SUM(H278:H300)</f>
        <v>0</v>
      </c>
      <c r="I277" s="68">
        <f>G277+H277</f>
        <v>0</v>
      </c>
      <c r="J277" s="69"/>
      <c r="K277" s="68">
        <f>SUM(K278:K300)</f>
        <v>6.9086906</v>
      </c>
      <c r="L277" s="69"/>
      <c r="M277" s="39"/>
      <c r="N277" s="39"/>
      <c r="Y277" s="6"/>
      <c r="AI277" s="13">
        <f>SUM(Z278:Z300)</f>
        <v>0</v>
      </c>
      <c r="AJ277" s="13">
        <f>SUM(AA278:AA300)</f>
        <v>0</v>
      </c>
      <c r="AK277" s="13">
        <f>SUM(AB278:AB300)</f>
        <v>0</v>
      </c>
    </row>
    <row r="278" spans="1:48" ht="12.75">
      <c r="A278" s="59" t="s">
        <v>607</v>
      </c>
      <c r="B278" s="59" t="s">
        <v>980</v>
      </c>
      <c r="C278" s="59" t="s">
        <v>1503</v>
      </c>
      <c r="D278" s="59" t="s">
        <v>142</v>
      </c>
      <c r="E278" s="60">
        <v>309.12</v>
      </c>
      <c r="F278" s="61"/>
      <c r="G278" s="61">
        <f>E278*AE278</f>
        <v>0</v>
      </c>
      <c r="H278" s="61">
        <f>I278-G278</f>
        <v>0</v>
      </c>
      <c r="I278" s="61">
        <f>E278*F278</f>
        <v>0</v>
      </c>
      <c r="J278" s="61">
        <v>0.00974</v>
      </c>
      <c r="K278" s="61">
        <f>E278*J278</f>
        <v>3.0108288</v>
      </c>
      <c r="L278" s="62" t="s">
        <v>170</v>
      </c>
      <c r="M278" s="39"/>
      <c r="N278" s="39"/>
      <c r="P278" s="11">
        <f>IF(AG278="5",I278,0)</f>
        <v>0</v>
      </c>
      <c r="R278" s="11">
        <f>IF(AG278="1",G278,0)</f>
        <v>0</v>
      </c>
      <c r="S278" s="11">
        <f>IF(AG278="1",H278,0)</f>
        <v>0</v>
      </c>
      <c r="T278" s="11">
        <f>IF(AG278="7",G278,0)</f>
        <v>0</v>
      </c>
      <c r="U278" s="11">
        <f>IF(AG278="7",H278,0)</f>
        <v>0</v>
      </c>
      <c r="V278" s="11">
        <f>IF(AG278="2",G278,0)</f>
        <v>0</v>
      </c>
      <c r="W278" s="11">
        <f>IF(AG278="2",H278,0)</f>
        <v>0</v>
      </c>
      <c r="X278" s="11">
        <f>IF(AG278="0",I278,0)</f>
        <v>0</v>
      </c>
      <c r="Y278" s="6"/>
      <c r="Z278" s="4">
        <f>IF(AD278=0,I278,0)</f>
        <v>0</v>
      </c>
      <c r="AA278" s="4">
        <f>IF(AD278=15,I278,0)</f>
        <v>0</v>
      </c>
      <c r="AB278" s="4">
        <f>IF(AD278=21,I278,0)</f>
        <v>0</v>
      </c>
      <c r="AD278" s="11">
        <v>21</v>
      </c>
      <c r="AE278" s="11">
        <f>F278*0</f>
        <v>0</v>
      </c>
      <c r="AF278" s="11">
        <f>F278*(1-0)</f>
        <v>0</v>
      </c>
      <c r="AG278" s="7" t="s">
        <v>504</v>
      </c>
      <c r="AM278" s="11">
        <f>E278*AE278</f>
        <v>0</v>
      </c>
      <c r="AN278" s="11">
        <f>E278*AF278</f>
        <v>0</v>
      </c>
      <c r="AO278" s="12" t="s">
        <v>194</v>
      </c>
      <c r="AP278" s="12" t="s">
        <v>226</v>
      </c>
      <c r="AQ278" s="6" t="s">
        <v>234</v>
      </c>
      <c r="AS278" s="11">
        <f>AM278+AN278</f>
        <v>0</v>
      </c>
      <c r="AT278" s="11">
        <f>F278/(100-AU278)*100</f>
        <v>0</v>
      </c>
      <c r="AU278" s="11">
        <v>0</v>
      </c>
      <c r="AV278" s="11">
        <f>K278</f>
        <v>3.0108288</v>
      </c>
    </row>
    <row r="279" spans="1:14" ht="12.75">
      <c r="A279" s="39"/>
      <c r="B279" s="39"/>
      <c r="C279" s="63" t="s">
        <v>1504</v>
      </c>
      <c r="D279" s="39"/>
      <c r="E279" s="64">
        <v>309.12</v>
      </c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48" ht="12.75">
      <c r="A280" s="59" t="s">
        <v>608</v>
      </c>
      <c r="B280" s="59" t="s">
        <v>981</v>
      </c>
      <c r="C280" s="59" t="s">
        <v>1505</v>
      </c>
      <c r="D280" s="59" t="s">
        <v>143</v>
      </c>
      <c r="E280" s="60">
        <v>3.011</v>
      </c>
      <c r="F280" s="61"/>
      <c r="G280" s="61">
        <f>E280*AE280</f>
        <v>0</v>
      </c>
      <c r="H280" s="61">
        <f>I280-G280</f>
        <v>0</v>
      </c>
      <c r="I280" s="61">
        <f>E280*F280</f>
        <v>0</v>
      </c>
      <c r="J280" s="61">
        <v>0</v>
      </c>
      <c r="K280" s="61">
        <f>E280*J280</f>
        <v>0</v>
      </c>
      <c r="L280" s="62" t="s">
        <v>170</v>
      </c>
      <c r="M280" s="39"/>
      <c r="N280" s="39"/>
      <c r="P280" s="11">
        <f>IF(AG280="5",I280,0)</f>
        <v>0</v>
      </c>
      <c r="R280" s="11">
        <f>IF(AG280="1",G280,0)</f>
        <v>0</v>
      </c>
      <c r="S280" s="11">
        <f>IF(AG280="1",H280,0)</f>
        <v>0</v>
      </c>
      <c r="T280" s="11">
        <f>IF(AG280="7",G280,0)</f>
        <v>0</v>
      </c>
      <c r="U280" s="11">
        <f>IF(AG280="7",H280,0)</f>
        <v>0</v>
      </c>
      <c r="V280" s="11">
        <f>IF(AG280="2",G280,0)</f>
        <v>0</v>
      </c>
      <c r="W280" s="11">
        <f>IF(AG280="2",H280,0)</f>
        <v>0</v>
      </c>
      <c r="X280" s="11">
        <f>IF(AG280="0",I280,0)</f>
        <v>0</v>
      </c>
      <c r="Y280" s="6"/>
      <c r="Z280" s="4">
        <f>IF(AD280=0,I280,0)</f>
        <v>0</v>
      </c>
      <c r="AA280" s="4">
        <f>IF(AD280=15,I280,0)</f>
        <v>0</v>
      </c>
      <c r="AB280" s="4">
        <f>IF(AD280=21,I280,0)</f>
        <v>0</v>
      </c>
      <c r="AD280" s="11">
        <v>21</v>
      </c>
      <c r="AE280" s="11">
        <f>F280*0</f>
        <v>0</v>
      </c>
      <c r="AF280" s="11">
        <f>F280*(1-0)</f>
        <v>0</v>
      </c>
      <c r="AG280" s="7" t="s">
        <v>502</v>
      </c>
      <c r="AM280" s="11">
        <f>E280*AE280</f>
        <v>0</v>
      </c>
      <c r="AN280" s="11">
        <f>E280*AF280</f>
        <v>0</v>
      </c>
      <c r="AO280" s="12" t="s">
        <v>194</v>
      </c>
      <c r="AP280" s="12" t="s">
        <v>226</v>
      </c>
      <c r="AQ280" s="6" t="s">
        <v>234</v>
      </c>
      <c r="AS280" s="11">
        <f>AM280+AN280</f>
        <v>0</v>
      </c>
      <c r="AT280" s="11">
        <f>F280/(100-AU280)*100</f>
        <v>0</v>
      </c>
      <c r="AU280" s="11">
        <v>0</v>
      </c>
      <c r="AV280" s="11">
        <f>K280</f>
        <v>0</v>
      </c>
    </row>
    <row r="281" spans="1:48" ht="12.75">
      <c r="A281" s="59" t="s">
        <v>609</v>
      </c>
      <c r="B281" s="59" t="s">
        <v>982</v>
      </c>
      <c r="C281" s="59" t="s">
        <v>1506</v>
      </c>
      <c r="D281" s="59" t="s">
        <v>143</v>
      </c>
      <c r="E281" s="60">
        <v>30.108</v>
      </c>
      <c r="F281" s="61"/>
      <c r="G281" s="61">
        <f>E281*AE281</f>
        <v>0</v>
      </c>
      <c r="H281" s="61">
        <f>I281-G281</f>
        <v>0</v>
      </c>
      <c r="I281" s="61">
        <f>E281*F281</f>
        <v>0</v>
      </c>
      <c r="J281" s="61">
        <v>0</v>
      </c>
      <c r="K281" s="61">
        <f>E281*J281</f>
        <v>0</v>
      </c>
      <c r="L281" s="62" t="s">
        <v>170</v>
      </c>
      <c r="M281" s="39"/>
      <c r="N281" s="39"/>
      <c r="P281" s="11">
        <f>IF(AG281="5",I281,0)</f>
        <v>0</v>
      </c>
      <c r="R281" s="11">
        <f>IF(AG281="1",G281,0)</f>
        <v>0</v>
      </c>
      <c r="S281" s="11">
        <f>IF(AG281="1",H281,0)</f>
        <v>0</v>
      </c>
      <c r="T281" s="11">
        <f>IF(AG281="7",G281,0)</f>
        <v>0</v>
      </c>
      <c r="U281" s="11">
        <f>IF(AG281="7",H281,0)</f>
        <v>0</v>
      </c>
      <c r="V281" s="11">
        <f>IF(AG281="2",G281,0)</f>
        <v>0</v>
      </c>
      <c r="W281" s="11">
        <f>IF(AG281="2",H281,0)</f>
        <v>0</v>
      </c>
      <c r="X281" s="11">
        <f>IF(AG281="0",I281,0)</f>
        <v>0</v>
      </c>
      <c r="Y281" s="6"/>
      <c r="Z281" s="4">
        <f>IF(AD281=0,I281,0)</f>
        <v>0</v>
      </c>
      <c r="AA281" s="4">
        <f>IF(AD281=15,I281,0)</f>
        <v>0</v>
      </c>
      <c r="AB281" s="4">
        <f>IF(AD281=21,I281,0)</f>
        <v>0</v>
      </c>
      <c r="AD281" s="11">
        <v>21</v>
      </c>
      <c r="AE281" s="11">
        <f>F281*0</f>
        <v>0</v>
      </c>
      <c r="AF281" s="11">
        <f>F281*(1-0)</f>
        <v>0</v>
      </c>
      <c r="AG281" s="7" t="s">
        <v>502</v>
      </c>
      <c r="AM281" s="11">
        <f>E281*AE281</f>
        <v>0</v>
      </c>
      <c r="AN281" s="11">
        <f>E281*AF281</f>
        <v>0</v>
      </c>
      <c r="AO281" s="12" t="s">
        <v>194</v>
      </c>
      <c r="AP281" s="12" t="s">
        <v>226</v>
      </c>
      <c r="AQ281" s="6" t="s">
        <v>234</v>
      </c>
      <c r="AS281" s="11">
        <f>AM281+AN281</f>
        <v>0</v>
      </c>
      <c r="AT281" s="11">
        <f>F281/(100-AU281)*100</f>
        <v>0</v>
      </c>
      <c r="AU281" s="11">
        <v>0</v>
      </c>
      <c r="AV281" s="11">
        <f>K281</f>
        <v>0</v>
      </c>
    </row>
    <row r="282" spans="1:14" ht="12.75">
      <c r="A282" s="39"/>
      <c r="B282" s="39"/>
      <c r="C282" s="63" t="s">
        <v>1267</v>
      </c>
      <c r="D282" s="39"/>
      <c r="E282" s="64">
        <v>30.108</v>
      </c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48" ht="12.75">
      <c r="A283" s="59" t="s">
        <v>610</v>
      </c>
      <c r="B283" s="59" t="s">
        <v>983</v>
      </c>
      <c r="C283" s="59" t="s">
        <v>1507</v>
      </c>
      <c r="D283" s="59" t="s">
        <v>143</v>
      </c>
      <c r="E283" s="60">
        <v>3.011</v>
      </c>
      <c r="F283" s="61"/>
      <c r="G283" s="61">
        <f>E283*AE283</f>
        <v>0</v>
      </c>
      <c r="H283" s="61">
        <f>I283-G283</f>
        <v>0</v>
      </c>
      <c r="I283" s="61">
        <f>E283*F283</f>
        <v>0</v>
      </c>
      <c r="J283" s="61">
        <v>0</v>
      </c>
      <c r="K283" s="61">
        <f>E283*J283</f>
        <v>0</v>
      </c>
      <c r="L283" s="62" t="s">
        <v>170</v>
      </c>
      <c r="M283" s="39"/>
      <c r="N283" s="39"/>
      <c r="P283" s="11">
        <f>IF(AG283="5",I283,0)</f>
        <v>0</v>
      </c>
      <c r="R283" s="11">
        <f>IF(AG283="1",G283,0)</f>
        <v>0</v>
      </c>
      <c r="S283" s="11">
        <f>IF(AG283="1",H283,0)</f>
        <v>0</v>
      </c>
      <c r="T283" s="11">
        <f>IF(AG283="7",G283,0)</f>
        <v>0</v>
      </c>
      <c r="U283" s="11">
        <f>IF(AG283="7",H283,0)</f>
        <v>0</v>
      </c>
      <c r="V283" s="11">
        <f>IF(AG283="2",G283,0)</f>
        <v>0</v>
      </c>
      <c r="W283" s="11">
        <f>IF(AG283="2",H283,0)</f>
        <v>0</v>
      </c>
      <c r="X283" s="11">
        <f>IF(AG283="0",I283,0)</f>
        <v>0</v>
      </c>
      <c r="Y283" s="6"/>
      <c r="Z283" s="4">
        <f>IF(AD283=0,I283,0)</f>
        <v>0</v>
      </c>
      <c r="AA283" s="4">
        <f>IF(AD283=15,I283,0)</f>
        <v>0</v>
      </c>
      <c r="AB283" s="4">
        <f>IF(AD283=21,I283,0)</f>
        <v>0</v>
      </c>
      <c r="AD283" s="11">
        <v>21</v>
      </c>
      <c r="AE283" s="11">
        <f>F283*0</f>
        <v>0</v>
      </c>
      <c r="AF283" s="11">
        <f>F283*(1-0)</f>
        <v>0</v>
      </c>
      <c r="AG283" s="7" t="s">
        <v>502</v>
      </c>
      <c r="AM283" s="11">
        <f>E283*AE283</f>
        <v>0</v>
      </c>
      <c r="AN283" s="11">
        <f>E283*AF283</f>
        <v>0</v>
      </c>
      <c r="AO283" s="12" t="s">
        <v>194</v>
      </c>
      <c r="AP283" s="12" t="s">
        <v>226</v>
      </c>
      <c r="AQ283" s="6" t="s">
        <v>234</v>
      </c>
      <c r="AS283" s="11">
        <f>AM283+AN283</f>
        <v>0</v>
      </c>
      <c r="AT283" s="11">
        <f>F283/(100-AU283)*100</f>
        <v>0</v>
      </c>
      <c r="AU283" s="11">
        <v>0</v>
      </c>
      <c r="AV283" s="11">
        <f>K283</f>
        <v>0</v>
      </c>
    </row>
    <row r="284" spans="1:48" ht="12.75">
      <c r="A284" s="59" t="s">
        <v>611</v>
      </c>
      <c r="B284" s="59" t="s">
        <v>984</v>
      </c>
      <c r="C284" s="59" t="s">
        <v>1508</v>
      </c>
      <c r="D284" s="59" t="s">
        <v>142</v>
      </c>
      <c r="E284" s="60">
        <v>310.55</v>
      </c>
      <c r="F284" s="61"/>
      <c r="G284" s="61">
        <f>E284*AE284</f>
        <v>0</v>
      </c>
      <c r="H284" s="61">
        <f>I284-G284</f>
        <v>0</v>
      </c>
      <c r="I284" s="61">
        <f>E284*F284</f>
        <v>0</v>
      </c>
      <c r="J284" s="61">
        <v>0.0003</v>
      </c>
      <c r="K284" s="61">
        <f>E284*J284</f>
        <v>0.093165</v>
      </c>
      <c r="L284" s="62" t="s">
        <v>170</v>
      </c>
      <c r="M284" s="39"/>
      <c r="N284" s="39"/>
      <c r="P284" s="11">
        <f>IF(AG284="5",I284,0)</f>
        <v>0</v>
      </c>
      <c r="R284" s="11">
        <f>IF(AG284="1",G284,0)</f>
        <v>0</v>
      </c>
      <c r="S284" s="11">
        <f>IF(AG284="1",H284,0)</f>
        <v>0</v>
      </c>
      <c r="T284" s="11">
        <f>IF(AG284="7",G284,0)</f>
        <v>0</v>
      </c>
      <c r="U284" s="11">
        <f>IF(AG284="7",H284,0)</f>
        <v>0</v>
      </c>
      <c r="V284" s="11">
        <f>IF(AG284="2",G284,0)</f>
        <v>0</v>
      </c>
      <c r="W284" s="11">
        <f>IF(AG284="2",H284,0)</f>
        <v>0</v>
      </c>
      <c r="X284" s="11">
        <f>IF(AG284="0",I284,0)</f>
        <v>0</v>
      </c>
      <c r="Y284" s="6"/>
      <c r="Z284" s="4">
        <f>IF(AD284=0,I284,0)</f>
        <v>0</v>
      </c>
      <c r="AA284" s="4">
        <f>IF(AD284=15,I284,0)</f>
        <v>0</v>
      </c>
      <c r="AB284" s="4">
        <f>IF(AD284=21,I284,0)</f>
        <v>0</v>
      </c>
      <c r="AD284" s="11">
        <v>21</v>
      </c>
      <c r="AE284" s="11">
        <f>F284*0.633596837944664</f>
        <v>0</v>
      </c>
      <c r="AF284" s="11">
        <f>F284*(1-0.633596837944664)</f>
        <v>0</v>
      </c>
      <c r="AG284" s="7" t="s">
        <v>504</v>
      </c>
      <c r="AM284" s="11">
        <f>E284*AE284</f>
        <v>0</v>
      </c>
      <c r="AN284" s="11">
        <f>E284*AF284</f>
        <v>0</v>
      </c>
      <c r="AO284" s="12" t="s">
        <v>194</v>
      </c>
      <c r="AP284" s="12" t="s">
        <v>226</v>
      </c>
      <c r="AQ284" s="6" t="s">
        <v>234</v>
      </c>
      <c r="AS284" s="11">
        <f>AM284+AN284</f>
        <v>0</v>
      </c>
      <c r="AT284" s="11">
        <f>F284/(100-AU284)*100</f>
        <v>0</v>
      </c>
      <c r="AU284" s="11">
        <v>0</v>
      </c>
      <c r="AV284" s="11">
        <f>K284</f>
        <v>0.093165</v>
      </c>
    </row>
    <row r="285" spans="1:14" ht="12.75">
      <c r="A285" s="39"/>
      <c r="B285" s="39"/>
      <c r="C285" s="63" t="s">
        <v>1509</v>
      </c>
      <c r="D285" s="39"/>
      <c r="E285" s="64">
        <v>1.43</v>
      </c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 ht="12.75">
      <c r="A286" s="39"/>
      <c r="B286" s="39"/>
      <c r="C286" s="63" t="s">
        <v>1504</v>
      </c>
      <c r="D286" s="39"/>
      <c r="E286" s="64">
        <v>309.12</v>
      </c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48" ht="12.75">
      <c r="A287" s="59" t="s">
        <v>612</v>
      </c>
      <c r="B287" s="59" t="s">
        <v>985</v>
      </c>
      <c r="C287" s="59" t="s">
        <v>1510</v>
      </c>
      <c r="D287" s="59" t="s">
        <v>142</v>
      </c>
      <c r="E287" s="60">
        <v>5.16</v>
      </c>
      <c r="F287" s="61"/>
      <c r="G287" s="61">
        <f>E287*AE287</f>
        <v>0</v>
      </c>
      <c r="H287" s="61">
        <f>I287-G287</f>
        <v>0</v>
      </c>
      <c r="I287" s="61">
        <f>E287*F287</f>
        <v>0</v>
      </c>
      <c r="J287" s="61">
        <v>0.00052</v>
      </c>
      <c r="K287" s="61">
        <f>E287*J287</f>
        <v>0.0026831999999999997</v>
      </c>
      <c r="L287" s="62" t="s">
        <v>170</v>
      </c>
      <c r="M287" s="39"/>
      <c r="N287" s="39"/>
      <c r="P287" s="11">
        <f>IF(AG287="5",I287,0)</f>
        <v>0</v>
      </c>
      <c r="R287" s="11">
        <f>IF(AG287="1",G287,0)</f>
        <v>0</v>
      </c>
      <c r="S287" s="11">
        <f>IF(AG287="1",H287,0)</f>
        <v>0</v>
      </c>
      <c r="T287" s="11">
        <f>IF(AG287="7",G287,0)</f>
        <v>0</v>
      </c>
      <c r="U287" s="11">
        <f>IF(AG287="7",H287,0)</f>
        <v>0</v>
      </c>
      <c r="V287" s="11">
        <f>IF(AG287="2",G287,0)</f>
        <v>0</v>
      </c>
      <c r="W287" s="11">
        <f>IF(AG287="2",H287,0)</f>
        <v>0</v>
      </c>
      <c r="X287" s="11">
        <f>IF(AG287="0",I287,0)</f>
        <v>0</v>
      </c>
      <c r="Y287" s="6"/>
      <c r="Z287" s="4">
        <f>IF(AD287=0,I287,0)</f>
        <v>0</v>
      </c>
      <c r="AA287" s="4">
        <f>IF(AD287=15,I287,0)</f>
        <v>0</v>
      </c>
      <c r="AB287" s="4">
        <f>IF(AD287=21,I287,0)</f>
        <v>0</v>
      </c>
      <c r="AD287" s="11">
        <v>21</v>
      </c>
      <c r="AE287" s="11">
        <f>F287*0.564611260053619</f>
        <v>0</v>
      </c>
      <c r="AF287" s="11">
        <f>F287*(1-0.564611260053619)</f>
        <v>0</v>
      </c>
      <c r="AG287" s="7" t="s">
        <v>504</v>
      </c>
      <c r="AM287" s="11">
        <f>E287*AE287</f>
        <v>0</v>
      </c>
      <c r="AN287" s="11">
        <f>E287*AF287</f>
        <v>0</v>
      </c>
      <c r="AO287" s="12" t="s">
        <v>194</v>
      </c>
      <c r="AP287" s="12" t="s">
        <v>226</v>
      </c>
      <c r="AQ287" s="6" t="s">
        <v>234</v>
      </c>
      <c r="AS287" s="11">
        <f>AM287+AN287</f>
        <v>0</v>
      </c>
      <c r="AT287" s="11">
        <f>F287/(100-AU287)*100</f>
        <v>0</v>
      </c>
      <c r="AU287" s="11">
        <v>0</v>
      </c>
      <c r="AV287" s="11">
        <f>K287</f>
        <v>0.0026831999999999997</v>
      </c>
    </row>
    <row r="288" spans="1:14" ht="12.75">
      <c r="A288" s="39"/>
      <c r="B288" s="39"/>
      <c r="C288" s="63" t="s">
        <v>1511</v>
      </c>
      <c r="D288" s="39"/>
      <c r="E288" s="64">
        <v>5.16</v>
      </c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48" ht="12.75">
      <c r="A289" s="59" t="s">
        <v>613</v>
      </c>
      <c r="B289" s="59" t="s">
        <v>986</v>
      </c>
      <c r="C289" s="59" t="s">
        <v>1512</v>
      </c>
      <c r="D289" s="59" t="s">
        <v>142</v>
      </c>
      <c r="E289" s="60">
        <v>310.55</v>
      </c>
      <c r="F289" s="61"/>
      <c r="G289" s="61">
        <f>E289*AE289</f>
        <v>0</v>
      </c>
      <c r="H289" s="61">
        <f>I289-G289</f>
        <v>0</v>
      </c>
      <c r="I289" s="61">
        <f>E289*F289</f>
        <v>0</v>
      </c>
      <c r="J289" s="61">
        <v>0.01117</v>
      </c>
      <c r="K289" s="61">
        <f>E289*J289</f>
        <v>3.4688434999999997</v>
      </c>
      <c r="L289" s="62" t="s">
        <v>170</v>
      </c>
      <c r="M289" s="39"/>
      <c r="N289" s="39"/>
      <c r="P289" s="11">
        <f>IF(AG289="5",I289,0)</f>
        <v>0</v>
      </c>
      <c r="R289" s="11">
        <f>IF(AG289="1",G289,0)</f>
        <v>0</v>
      </c>
      <c r="S289" s="11">
        <f>IF(AG289="1",H289,0)</f>
        <v>0</v>
      </c>
      <c r="T289" s="11">
        <f>IF(AG289="7",G289,0)</f>
        <v>0</v>
      </c>
      <c r="U289" s="11">
        <f>IF(AG289="7",H289,0)</f>
        <v>0</v>
      </c>
      <c r="V289" s="11">
        <f>IF(AG289="2",G289,0)</f>
        <v>0</v>
      </c>
      <c r="W289" s="11">
        <f>IF(AG289="2",H289,0)</f>
        <v>0</v>
      </c>
      <c r="X289" s="11">
        <f>IF(AG289="0",I289,0)</f>
        <v>0</v>
      </c>
      <c r="Y289" s="6"/>
      <c r="Z289" s="4">
        <f>IF(AD289=0,I289,0)</f>
        <v>0</v>
      </c>
      <c r="AA289" s="4">
        <f>IF(AD289=15,I289,0)</f>
        <v>0</v>
      </c>
      <c r="AB289" s="4">
        <f>IF(AD289=21,I289,0)</f>
        <v>0</v>
      </c>
      <c r="AD289" s="11">
        <v>21</v>
      </c>
      <c r="AE289" s="11">
        <f>F289*0.646689497716895</f>
        <v>0</v>
      </c>
      <c r="AF289" s="11">
        <f>F289*(1-0.646689497716895)</f>
        <v>0</v>
      </c>
      <c r="AG289" s="7" t="s">
        <v>504</v>
      </c>
      <c r="AM289" s="11">
        <f>E289*AE289</f>
        <v>0</v>
      </c>
      <c r="AN289" s="11">
        <f>E289*AF289</f>
        <v>0</v>
      </c>
      <c r="AO289" s="12" t="s">
        <v>194</v>
      </c>
      <c r="AP289" s="12" t="s">
        <v>226</v>
      </c>
      <c r="AQ289" s="6" t="s">
        <v>234</v>
      </c>
      <c r="AS289" s="11">
        <f>AM289+AN289</f>
        <v>0</v>
      </c>
      <c r="AT289" s="11">
        <f>F289/(100-AU289)*100</f>
        <v>0</v>
      </c>
      <c r="AU289" s="11">
        <v>0</v>
      </c>
      <c r="AV289" s="11">
        <f>K289</f>
        <v>3.4688434999999997</v>
      </c>
    </row>
    <row r="290" spans="1:14" ht="12.75">
      <c r="A290" s="39"/>
      <c r="B290" s="39"/>
      <c r="C290" s="63" t="s">
        <v>1509</v>
      </c>
      <c r="D290" s="39"/>
      <c r="E290" s="64">
        <v>1.43</v>
      </c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 ht="12.75">
      <c r="A291" s="39"/>
      <c r="B291" s="39"/>
      <c r="C291" s="63" t="s">
        <v>1504</v>
      </c>
      <c r="D291" s="39"/>
      <c r="E291" s="64">
        <v>309.12</v>
      </c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48" ht="12.75">
      <c r="A292" s="59" t="s">
        <v>614</v>
      </c>
      <c r="B292" s="59" t="s">
        <v>987</v>
      </c>
      <c r="C292" s="59" t="s">
        <v>1513</v>
      </c>
      <c r="D292" s="59" t="s">
        <v>142</v>
      </c>
      <c r="E292" s="60">
        <v>20.435</v>
      </c>
      <c r="F292" s="61"/>
      <c r="G292" s="61">
        <f>E292*AE292</f>
        <v>0</v>
      </c>
      <c r="H292" s="61">
        <f>I292-G292</f>
        <v>0</v>
      </c>
      <c r="I292" s="61">
        <f>E292*F292</f>
        <v>0</v>
      </c>
      <c r="J292" s="61">
        <v>0.0103</v>
      </c>
      <c r="K292" s="61">
        <f>E292*J292</f>
        <v>0.2104805</v>
      </c>
      <c r="L292" s="62" t="s">
        <v>170</v>
      </c>
      <c r="M292" s="39"/>
      <c r="N292" s="39"/>
      <c r="P292" s="11">
        <f>IF(AG292="5",I292,0)</f>
        <v>0</v>
      </c>
      <c r="R292" s="11">
        <f>IF(AG292="1",G292,0)</f>
        <v>0</v>
      </c>
      <c r="S292" s="11">
        <f>IF(AG292="1",H292,0)</f>
        <v>0</v>
      </c>
      <c r="T292" s="11">
        <f>IF(AG292="7",G292,0)</f>
        <v>0</v>
      </c>
      <c r="U292" s="11">
        <f>IF(AG292="7",H292,0)</f>
        <v>0</v>
      </c>
      <c r="V292" s="11">
        <f>IF(AG292="2",G292,0)</f>
        <v>0</v>
      </c>
      <c r="W292" s="11">
        <f>IF(AG292="2",H292,0)</f>
        <v>0</v>
      </c>
      <c r="X292" s="11">
        <f>IF(AG292="0",I292,0)</f>
        <v>0</v>
      </c>
      <c r="Y292" s="6"/>
      <c r="Z292" s="4">
        <f>IF(AD292=0,I292,0)</f>
        <v>0</v>
      </c>
      <c r="AA292" s="4">
        <f>IF(AD292=15,I292,0)</f>
        <v>0</v>
      </c>
      <c r="AB292" s="4">
        <f>IF(AD292=21,I292,0)</f>
        <v>0</v>
      </c>
      <c r="AD292" s="11">
        <v>21</v>
      </c>
      <c r="AE292" s="11">
        <f>F292*0.554812967581047</f>
        <v>0</v>
      </c>
      <c r="AF292" s="11">
        <f>F292*(1-0.554812967581047)</f>
        <v>0</v>
      </c>
      <c r="AG292" s="7" t="s">
        <v>504</v>
      </c>
      <c r="AM292" s="11">
        <f>E292*AE292</f>
        <v>0</v>
      </c>
      <c r="AN292" s="11">
        <f>E292*AF292</f>
        <v>0</v>
      </c>
      <c r="AO292" s="12" t="s">
        <v>194</v>
      </c>
      <c r="AP292" s="12" t="s">
        <v>226</v>
      </c>
      <c r="AQ292" s="6" t="s">
        <v>234</v>
      </c>
      <c r="AS292" s="11">
        <f>AM292+AN292</f>
        <v>0</v>
      </c>
      <c r="AT292" s="11">
        <f>F292/(100-AU292)*100</f>
        <v>0</v>
      </c>
      <c r="AU292" s="11">
        <v>0</v>
      </c>
      <c r="AV292" s="11">
        <f>K292</f>
        <v>0.2104805</v>
      </c>
    </row>
    <row r="293" spans="1:14" ht="12.75">
      <c r="A293" s="39"/>
      <c r="B293" s="39"/>
      <c r="C293" s="63" t="s">
        <v>1511</v>
      </c>
      <c r="D293" s="39"/>
      <c r="E293" s="64">
        <v>5.16</v>
      </c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 ht="12.75">
      <c r="A294" s="39"/>
      <c r="B294" s="39"/>
      <c r="C294" s="63" t="s">
        <v>1514</v>
      </c>
      <c r="D294" s="39"/>
      <c r="E294" s="64">
        <v>6.77</v>
      </c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 ht="12.75">
      <c r="A295" s="39"/>
      <c r="B295" s="39"/>
      <c r="C295" s="63" t="s">
        <v>1434</v>
      </c>
      <c r="D295" s="39"/>
      <c r="E295" s="64">
        <v>8.505</v>
      </c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48" ht="12.75">
      <c r="A296" s="59" t="s">
        <v>615</v>
      </c>
      <c r="B296" s="59" t="s">
        <v>988</v>
      </c>
      <c r="C296" s="59" t="s">
        <v>1515</v>
      </c>
      <c r="D296" s="59" t="s">
        <v>142</v>
      </c>
      <c r="E296" s="60">
        <v>8.505</v>
      </c>
      <c r="F296" s="61"/>
      <c r="G296" s="61">
        <f>E296*AE296</f>
        <v>0</v>
      </c>
      <c r="H296" s="61">
        <f>I296-G296</f>
        <v>0</v>
      </c>
      <c r="I296" s="61">
        <f>E296*F296</f>
        <v>0</v>
      </c>
      <c r="J296" s="61">
        <v>0.00032</v>
      </c>
      <c r="K296" s="61">
        <f>E296*J296</f>
        <v>0.0027216000000000007</v>
      </c>
      <c r="L296" s="62" t="s">
        <v>170</v>
      </c>
      <c r="M296" s="39"/>
      <c r="N296" s="39"/>
      <c r="P296" s="11">
        <f>IF(AG296="5",I296,0)</f>
        <v>0</v>
      </c>
      <c r="R296" s="11">
        <f>IF(AG296="1",G296,0)</f>
        <v>0</v>
      </c>
      <c r="S296" s="11">
        <f>IF(AG296="1",H296,0)</f>
        <v>0</v>
      </c>
      <c r="T296" s="11">
        <f>IF(AG296="7",G296,0)</f>
        <v>0</v>
      </c>
      <c r="U296" s="11">
        <f>IF(AG296="7",H296,0)</f>
        <v>0</v>
      </c>
      <c r="V296" s="11">
        <f>IF(AG296="2",G296,0)</f>
        <v>0</v>
      </c>
      <c r="W296" s="11">
        <f>IF(AG296="2",H296,0)</f>
        <v>0</v>
      </c>
      <c r="X296" s="11">
        <f>IF(AG296="0",I296,0)</f>
        <v>0</v>
      </c>
      <c r="Y296" s="6"/>
      <c r="Z296" s="4">
        <f>IF(AD296=0,I296,0)</f>
        <v>0</v>
      </c>
      <c r="AA296" s="4">
        <f>IF(AD296=15,I296,0)</f>
        <v>0</v>
      </c>
      <c r="AB296" s="4">
        <f>IF(AD296=21,I296,0)</f>
        <v>0</v>
      </c>
      <c r="AD296" s="11">
        <v>21</v>
      </c>
      <c r="AE296" s="11">
        <f>F296*0.433109171555301</f>
        <v>0</v>
      </c>
      <c r="AF296" s="11">
        <f>F296*(1-0.433109171555301)</f>
        <v>0</v>
      </c>
      <c r="AG296" s="7" t="s">
        <v>504</v>
      </c>
      <c r="AM296" s="11">
        <f>E296*AE296</f>
        <v>0</v>
      </c>
      <c r="AN296" s="11">
        <f>E296*AF296</f>
        <v>0</v>
      </c>
      <c r="AO296" s="12" t="s">
        <v>194</v>
      </c>
      <c r="AP296" s="12" t="s">
        <v>226</v>
      </c>
      <c r="AQ296" s="6" t="s">
        <v>234</v>
      </c>
      <c r="AS296" s="11">
        <f>AM296+AN296</f>
        <v>0</v>
      </c>
      <c r="AT296" s="11">
        <f>F296/(100-AU296)*100</f>
        <v>0</v>
      </c>
      <c r="AU296" s="11">
        <v>0</v>
      </c>
      <c r="AV296" s="11">
        <f>K296</f>
        <v>0.0027216000000000007</v>
      </c>
    </row>
    <row r="297" spans="1:14" ht="12.75">
      <c r="A297" s="39"/>
      <c r="B297" s="39"/>
      <c r="C297" s="63" t="s">
        <v>1516</v>
      </c>
      <c r="D297" s="39"/>
      <c r="E297" s="64">
        <v>8.505</v>
      </c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48" ht="12.75">
      <c r="A298" s="59" t="s">
        <v>616</v>
      </c>
      <c r="B298" s="59" t="s">
        <v>989</v>
      </c>
      <c r="C298" s="59" t="s">
        <v>1517</v>
      </c>
      <c r="D298" s="59" t="s">
        <v>142</v>
      </c>
      <c r="E298" s="60">
        <v>32.6</v>
      </c>
      <c r="F298" s="61"/>
      <c r="G298" s="61">
        <f>E298*AE298</f>
        <v>0</v>
      </c>
      <c r="H298" s="61">
        <f>I298-G298</f>
        <v>0</v>
      </c>
      <c r="I298" s="61">
        <f>E298*F298</f>
        <v>0</v>
      </c>
      <c r="J298" s="61">
        <v>0.00368</v>
      </c>
      <c r="K298" s="61">
        <f>E298*J298</f>
        <v>0.119968</v>
      </c>
      <c r="L298" s="62" t="s">
        <v>170</v>
      </c>
      <c r="M298" s="39"/>
      <c r="N298" s="39"/>
      <c r="P298" s="11">
        <f>IF(AG298="5",I298,0)</f>
        <v>0</v>
      </c>
      <c r="R298" s="11">
        <f>IF(AG298="1",G298,0)</f>
        <v>0</v>
      </c>
      <c r="S298" s="11">
        <f>IF(AG298="1",H298,0)</f>
        <v>0</v>
      </c>
      <c r="T298" s="11">
        <f>IF(AG298="7",G298,0)</f>
        <v>0</v>
      </c>
      <c r="U298" s="11">
        <f>IF(AG298="7",H298,0)</f>
        <v>0</v>
      </c>
      <c r="V298" s="11">
        <f>IF(AG298="2",G298,0)</f>
        <v>0</v>
      </c>
      <c r="W298" s="11">
        <f>IF(AG298="2",H298,0)</f>
        <v>0</v>
      </c>
      <c r="X298" s="11">
        <f>IF(AG298="0",I298,0)</f>
        <v>0</v>
      </c>
      <c r="Y298" s="6"/>
      <c r="Z298" s="4">
        <f>IF(AD298=0,I298,0)</f>
        <v>0</v>
      </c>
      <c r="AA298" s="4">
        <f>IF(AD298=15,I298,0)</f>
        <v>0</v>
      </c>
      <c r="AB298" s="4">
        <f>IF(AD298=21,I298,0)</f>
        <v>0</v>
      </c>
      <c r="AD298" s="11">
        <v>21</v>
      </c>
      <c r="AE298" s="11">
        <f>F298*0.615772416276558</f>
        <v>0</v>
      </c>
      <c r="AF298" s="11">
        <f>F298*(1-0.615772416276558)</f>
        <v>0</v>
      </c>
      <c r="AG298" s="7" t="s">
        <v>504</v>
      </c>
      <c r="AM298" s="11">
        <f>E298*AE298</f>
        <v>0</v>
      </c>
      <c r="AN298" s="11">
        <f>E298*AF298</f>
        <v>0</v>
      </c>
      <c r="AO298" s="12" t="s">
        <v>194</v>
      </c>
      <c r="AP298" s="12" t="s">
        <v>226</v>
      </c>
      <c r="AQ298" s="6" t="s">
        <v>234</v>
      </c>
      <c r="AS298" s="11">
        <f>AM298+AN298</f>
        <v>0</v>
      </c>
      <c r="AT298" s="11">
        <f>F298/(100-AU298)*100</f>
        <v>0</v>
      </c>
      <c r="AU298" s="11">
        <v>0</v>
      </c>
      <c r="AV298" s="11">
        <f>K298</f>
        <v>0.119968</v>
      </c>
    </row>
    <row r="299" spans="1:14" ht="12.75">
      <c r="A299" s="39"/>
      <c r="B299" s="39"/>
      <c r="C299" s="63" t="s">
        <v>1518</v>
      </c>
      <c r="D299" s="39"/>
      <c r="E299" s="64">
        <v>32.6</v>
      </c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48" ht="12.75">
      <c r="A300" s="59" t="s">
        <v>617</v>
      </c>
      <c r="B300" s="59" t="s">
        <v>990</v>
      </c>
      <c r="C300" s="59" t="s">
        <v>1519</v>
      </c>
      <c r="D300" s="59" t="s">
        <v>143</v>
      </c>
      <c r="E300" s="60">
        <v>6.909</v>
      </c>
      <c r="F300" s="61"/>
      <c r="G300" s="61">
        <f>E300*AE300</f>
        <v>0</v>
      </c>
      <c r="H300" s="61">
        <f>I300-G300</f>
        <v>0</v>
      </c>
      <c r="I300" s="61">
        <f>E300*F300</f>
        <v>0</v>
      </c>
      <c r="J300" s="61">
        <v>0</v>
      </c>
      <c r="K300" s="61">
        <f>E300*J300</f>
        <v>0</v>
      </c>
      <c r="L300" s="62" t="s">
        <v>170</v>
      </c>
      <c r="M300" s="39"/>
      <c r="N300" s="39"/>
      <c r="P300" s="11">
        <f>IF(AG300="5",I300,0)</f>
        <v>0</v>
      </c>
      <c r="R300" s="11">
        <f>IF(AG300="1",G300,0)</f>
        <v>0</v>
      </c>
      <c r="S300" s="11">
        <f>IF(AG300="1",H300,0)</f>
        <v>0</v>
      </c>
      <c r="T300" s="11">
        <f>IF(AG300="7",G300,0)</f>
        <v>0</v>
      </c>
      <c r="U300" s="11">
        <f>IF(AG300="7",H300,0)</f>
        <v>0</v>
      </c>
      <c r="V300" s="11">
        <f>IF(AG300="2",G300,0)</f>
        <v>0</v>
      </c>
      <c r="W300" s="11">
        <f>IF(AG300="2",H300,0)</f>
        <v>0</v>
      </c>
      <c r="X300" s="11">
        <f>IF(AG300="0",I300,0)</f>
        <v>0</v>
      </c>
      <c r="Y300" s="6"/>
      <c r="Z300" s="4">
        <f>IF(AD300=0,I300,0)</f>
        <v>0</v>
      </c>
      <c r="AA300" s="4">
        <f>IF(AD300=15,I300,0)</f>
        <v>0</v>
      </c>
      <c r="AB300" s="4">
        <f>IF(AD300=21,I300,0)</f>
        <v>0</v>
      </c>
      <c r="AD300" s="11">
        <v>21</v>
      </c>
      <c r="AE300" s="11">
        <f>F300*0</f>
        <v>0</v>
      </c>
      <c r="AF300" s="11">
        <f>F300*(1-0)</f>
        <v>0</v>
      </c>
      <c r="AG300" s="7" t="s">
        <v>502</v>
      </c>
      <c r="AM300" s="11">
        <f>E300*AE300</f>
        <v>0</v>
      </c>
      <c r="AN300" s="11">
        <f>E300*AF300</f>
        <v>0</v>
      </c>
      <c r="AO300" s="12" t="s">
        <v>194</v>
      </c>
      <c r="AP300" s="12" t="s">
        <v>226</v>
      </c>
      <c r="AQ300" s="6" t="s">
        <v>234</v>
      </c>
      <c r="AS300" s="11">
        <f>AM300+AN300</f>
        <v>0</v>
      </c>
      <c r="AT300" s="11">
        <f>F300/(100-AU300)*100</f>
        <v>0</v>
      </c>
      <c r="AU300" s="11">
        <v>0</v>
      </c>
      <c r="AV300" s="11">
        <f>K300</f>
        <v>0</v>
      </c>
    </row>
    <row r="301" spans="1:37" ht="12.75">
      <c r="A301" s="66"/>
      <c r="B301" s="67" t="s">
        <v>991</v>
      </c>
      <c r="C301" s="305" t="s">
        <v>1520</v>
      </c>
      <c r="D301" s="306"/>
      <c r="E301" s="306"/>
      <c r="F301" s="306"/>
      <c r="G301" s="68">
        <f>SUM(G302:G308)</f>
        <v>0</v>
      </c>
      <c r="H301" s="68">
        <f>SUM(H302:H308)</f>
        <v>0</v>
      </c>
      <c r="I301" s="68">
        <f>G301+H301</f>
        <v>0</v>
      </c>
      <c r="J301" s="69"/>
      <c r="K301" s="68">
        <f>SUM(K302:K308)</f>
        <v>6.4748646</v>
      </c>
      <c r="L301" s="69"/>
      <c r="M301" s="39"/>
      <c r="N301" s="39"/>
      <c r="Y301" s="6"/>
      <c r="AI301" s="13">
        <f>SUM(Z302:Z308)</f>
        <v>0</v>
      </c>
      <c r="AJ301" s="13">
        <f>SUM(AA302:AA308)</f>
        <v>0</v>
      </c>
      <c r="AK301" s="13">
        <f>SUM(AB302:AB308)</f>
        <v>0</v>
      </c>
    </row>
    <row r="302" spans="1:48" ht="12.75">
      <c r="A302" s="59" t="s">
        <v>618</v>
      </c>
      <c r="B302" s="59" t="s">
        <v>992</v>
      </c>
      <c r="C302" s="59" t="s">
        <v>1521</v>
      </c>
      <c r="D302" s="59" t="s">
        <v>142</v>
      </c>
      <c r="E302" s="60">
        <v>518.94</v>
      </c>
      <c r="F302" s="61"/>
      <c r="G302" s="61">
        <f>E302*AE302</f>
        <v>0</v>
      </c>
      <c r="H302" s="61">
        <f>I302-G302</f>
        <v>0</v>
      </c>
      <c r="I302" s="61">
        <f>E302*F302</f>
        <v>0</v>
      </c>
      <c r="J302" s="61">
        <v>0.0002</v>
      </c>
      <c r="K302" s="61">
        <f>E302*J302</f>
        <v>0.10378800000000002</v>
      </c>
      <c r="L302" s="62" t="s">
        <v>170</v>
      </c>
      <c r="M302" s="39"/>
      <c r="N302" s="39"/>
      <c r="P302" s="11">
        <f>IF(AG302="5",I302,0)</f>
        <v>0</v>
      </c>
      <c r="R302" s="11">
        <f>IF(AG302="1",G302,0)</f>
        <v>0</v>
      </c>
      <c r="S302" s="11">
        <f>IF(AG302="1",H302,0)</f>
        <v>0</v>
      </c>
      <c r="T302" s="11">
        <f>IF(AG302="7",G302,0)</f>
        <v>0</v>
      </c>
      <c r="U302" s="11">
        <f>IF(AG302="7",H302,0)</f>
        <v>0</v>
      </c>
      <c r="V302" s="11">
        <f>IF(AG302="2",G302,0)</f>
        <v>0</v>
      </c>
      <c r="W302" s="11">
        <f>IF(AG302="2",H302,0)</f>
        <v>0</v>
      </c>
      <c r="X302" s="11">
        <f>IF(AG302="0",I302,0)</f>
        <v>0</v>
      </c>
      <c r="Y302" s="6"/>
      <c r="Z302" s="4">
        <f>IF(AD302=0,I302,0)</f>
        <v>0</v>
      </c>
      <c r="AA302" s="4">
        <f>IF(AD302=15,I302,0)</f>
        <v>0</v>
      </c>
      <c r="AB302" s="4">
        <f>IF(AD302=21,I302,0)</f>
        <v>0</v>
      </c>
      <c r="AD302" s="11">
        <v>21</v>
      </c>
      <c r="AE302" s="11">
        <f>F302*0.633596837944664</f>
        <v>0</v>
      </c>
      <c r="AF302" s="11">
        <f>F302*(1-0.633596837944664)</f>
        <v>0</v>
      </c>
      <c r="AG302" s="7" t="s">
        <v>504</v>
      </c>
      <c r="AM302" s="11">
        <f>E302*AE302</f>
        <v>0</v>
      </c>
      <c r="AN302" s="11">
        <f>E302*AF302</f>
        <v>0</v>
      </c>
      <c r="AO302" s="12" t="s">
        <v>195</v>
      </c>
      <c r="AP302" s="12" t="s">
        <v>226</v>
      </c>
      <c r="AQ302" s="6" t="s">
        <v>234</v>
      </c>
      <c r="AS302" s="11">
        <f>AM302+AN302</f>
        <v>0</v>
      </c>
      <c r="AT302" s="11">
        <f>F302/(100-AU302)*100</f>
        <v>0</v>
      </c>
      <c r="AU302" s="11">
        <v>0</v>
      </c>
      <c r="AV302" s="11">
        <f>K302</f>
        <v>0.10378800000000002</v>
      </c>
    </row>
    <row r="303" spans="1:14" ht="12.75">
      <c r="A303" s="39"/>
      <c r="B303" s="39"/>
      <c r="C303" s="63" t="s">
        <v>1522</v>
      </c>
      <c r="D303" s="39"/>
      <c r="E303" s="64">
        <v>518.94</v>
      </c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48" ht="12.75">
      <c r="A304" s="59" t="s">
        <v>619</v>
      </c>
      <c r="B304" s="59" t="s">
        <v>993</v>
      </c>
      <c r="C304" s="59" t="s">
        <v>1523</v>
      </c>
      <c r="D304" s="59" t="s">
        <v>142</v>
      </c>
      <c r="E304" s="60">
        <v>518.94</v>
      </c>
      <c r="F304" s="61"/>
      <c r="G304" s="61">
        <f>E304*AE304</f>
        <v>0</v>
      </c>
      <c r="H304" s="61">
        <f>I304-G304</f>
        <v>0</v>
      </c>
      <c r="I304" s="61">
        <f>E304*F304</f>
        <v>0</v>
      </c>
      <c r="J304" s="61">
        <v>0.00483</v>
      </c>
      <c r="K304" s="61">
        <f>E304*J304</f>
        <v>2.5064802000000004</v>
      </c>
      <c r="L304" s="62" t="s">
        <v>170</v>
      </c>
      <c r="M304" s="39"/>
      <c r="N304" s="39"/>
      <c r="P304" s="11">
        <f>IF(AG304="5",I304,0)</f>
        <v>0</v>
      </c>
      <c r="R304" s="11">
        <f>IF(AG304="1",G304,0)</f>
        <v>0</v>
      </c>
      <c r="S304" s="11">
        <f>IF(AG304="1",H304,0)</f>
        <v>0</v>
      </c>
      <c r="T304" s="11">
        <f>IF(AG304="7",G304,0)</f>
        <v>0</v>
      </c>
      <c r="U304" s="11">
        <f>IF(AG304="7",H304,0)</f>
        <v>0</v>
      </c>
      <c r="V304" s="11">
        <f>IF(AG304="2",G304,0)</f>
        <v>0</v>
      </c>
      <c r="W304" s="11">
        <f>IF(AG304="2",H304,0)</f>
        <v>0</v>
      </c>
      <c r="X304" s="11">
        <f>IF(AG304="0",I304,0)</f>
        <v>0</v>
      </c>
      <c r="Y304" s="6"/>
      <c r="Z304" s="4">
        <f>IF(AD304=0,I304,0)</f>
        <v>0</v>
      </c>
      <c r="AA304" s="4">
        <f>IF(AD304=15,I304,0)</f>
        <v>0</v>
      </c>
      <c r="AB304" s="4">
        <f>IF(AD304=21,I304,0)</f>
        <v>0</v>
      </c>
      <c r="AD304" s="11">
        <v>21</v>
      </c>
      <c r="AE304" s="11">
        <f>F304*0.615375375375375</f>
        <v>0</v>
      </c>
      <c r="AF304" s="11">
        <f>F304*(1-0.615375375375375)</f>
        <v>0</v>
      </c>
      <c r="AG304" s="7" t="s">
        <v>504</v>
      </c>
      <c r="AM304" s="11">
        <f>E304*AE304</f>
        <v>0</v>
      </c>
      <c r="AN304" s="11">
        <f>E304*AF304</f>
        <v>0</v>
      </c>
      <c r="AO304" s="12" t="s">
        <v>195</v>
      </c>
      <c r="AP304" s="12" t="s">
        <v>226</v>
      </c>
      <c r="AQ304" s="6" t="s">
        <v>234</v>
      </c>
      <c r="AS304" s="11">
        <f>AM304+AN304</f>
        <v>0</v>
      </c>
      <c r="AT304" s="11">
        <f>F304/(100-AU304)*100</f>
        <v>0</v>
      </c>
      <c r="AU304" s="11">
        <v>0</v>
      </c>
      <c r="AV304" s="11">
        <f>K304</f>
        <v>2.5064802000000004</v>
      </c>
    </row>
    <row r="305" spans="1:14" ht="12.75">
      <c r="A305" s="39"/>
      <c r="B305" s="39"/>
      <c r="C305" s="63" t="s">
        <v>1522</v>
      </c>
      <c r="D305" s="39"/>
      <c r="E305" s="64">
        <v>518.94</v>
      </c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48" ht="12.75">
      <c r="A306" s="59" t="s">
        <v>620</v>
      </c>
      <c r="B306" s="59" t="s">
        <v>994</v>
      </c>
      <c r="C306" s="59" t="s">
        <v>1524</v>
      </c>
      <c r="D306" s="59" t="s">
        <v>142</v>
      </c>
      <c r="E306" s="60">
        <v>360.84</v>
      </c>
      <c r="F306" s="61"/>
      <c r="G306" s="61">
        <f>E306*AE306</f>
        <v>0</v>
      </c>
      <c r="H306" s="61">
        <f>I306-G306</f>
        <v>0</v>
      </c>
      <c r="I306" s="61">
        <f>E306*F306</f>
        <v>0</v>
      </c>
      <c r="J306" s="61">
        <v>0.01071</v>
      </c>
      <c r="K306" s="61">
        <f>E306*J306</f>
        <v>3.8645964</v>
      </c>
      <c r="L306" s="62" t="s">
        <v>170</v>
      </c>
      <c r="M306" s="39"/>
      <c r="N306" s="39"/>
      <c r="P306" s="11">
        <f>IF(AG306="5",I306,0)</f>
        <v>0</v>
      </c>
      <c r="R306" s="11">
        <f>IF(AG306="1",G306,0)</f>
        <v>0</v>
      </c>
      <c r="S306" s="11">
        <f>IF(AG306="1",H306,0)</f>
        <v>0</v>
      </c>
      <c r="T306" s="11">
        <f>IF(AG306="7",G306,0)</f>
        <v>0</v>
      </c>
      <c r="U306" s="11">
        <f>IF(AG306="7",H306,0)</f>
        <v>0</v>
      </c>
      <c r="V306" s="11">
        <f>IF(AG306="2",G306,0)</f>
        <v>0</v>
      </c>
      <c r="W306" s="11">
        <f>IF(AG306="2",H306,0)</f>
        <v>0</v>
      </c>
      <c r="X306" s="11">
        <f>IF(AG306="0",I306,0)</f>
        <v>0</v>
      </c>
      <c r="Y306" s="6"/>
      <c r="Z306" s="4">
        <f>IF(AD306=0,I306,0)</f>
        <v>0</v>
      </c>
      <c r="AA306" s="4">
        <f>IF(AD306=15,I306,0)</f>
        <v>0</v>
      </c>
      <c r="AB306" s="4">
        <f>IF(AD306=21,I306,0)</f>
        <v>0</v>
      </c>
      <c r="AD306" s="11">
        <v>21</v>
      </c>
      <c r="AE306" s="11">
        <f>F306*0.675443140611275</f>
        <v>0</v>
      </c>
      <c r="AF306" s="11">
        <f>F306*(1-0.675443140611275)</f>
        <v>0</v>
      </c>
      <c r="AG306" s="7" t="s">
        <v>504</v>
      </c>
      <c r="AM306" s="11">
        <f>E306*AE306</f>
        <v>0</v>
      </c>
      <c r="AN306" s="11">
        <f>E306*AF306</f>
        <v>0</v>
      </c>
      <c r="AO306" s="12" t="s">
        <v>195</v>
      </c>
      <c r="AP306" s="12" t="s">
        <v>226</v>
      </c>
      <c r="AQ306" s="6" t="s">
        <v>234</v>
      </c>
      <c r="AS306" s="11">
        <f>AM306+AN306</f>
        <v>0</v>
      </c>
      <c r="AT306" s="11">
        <f>F306/(100-AU306)*100</f>
        <v>0</v>
      </c>
      <c r="AU306" s="11">
        <v>0</v>
      </c>
      <c r="AV306" s="11">
        <f>K306</f>
        <v>3.8645964</v>
      </c>
    </row>
    <row r="307" spans="1:14" ht="12.75">
      <c r="A307" s="39"/>
      <c r="B307" s="39"/>
      <c r="C307" s="63" t="s">
        <v>1525</v>
      </c>
      <c r="D307" s="39"/>
      <c r="E307" s="64">
        <v>360.84</v>
      </c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48" ht="12.75">
      <c r="A308" s="59" t="s">
        <v>621</v>
      </c>
      <c r="B308" s="59" t="s">
        <v>995</v>
      </c>
      <c r="C308" s="59" t="s">
        <v>1526</v>
      </c>
      <c r="D308" s="59" t="s">
        <v>143</v>
      </c>
      <c r="E308" s="60">
        <v>6.475</v>
      </c>
      <c r="F308" s="61"/>
      <c r="G308" s="61">
        <f>E308*AE308</f>
        <v>0</v>
      </c>
      <c r="H308" s="61">
        <f>I308-G308</f>
        <v>0</v>
      </c>
      <c r="I308" s="61">
        <f>E308*F308</f>
        <v>0</v>
      </c>
      <c r="J308" s="61">
        <v>0</v>
      </c>
      <c r="K308" s="61">
        <f>E308*J308</f>
        <v>0</v>
      </c>
      <c r="L308" s="62" t="s">
        <v>170</v>
      </c>
      <c r="M308" s="39"/>
      <c r="N308" s="39"/>
      <c r="P308" s="11">
        <f>IF(AG308="5",I308,0)</f>
        <v>0</v>
      </c>
      <c r="R308" s="11">
        <f>IF(AG308="1",G308,0)</f>
        <v>0</v>
      </c>
      <c r="S308" s="11">
        <f>IF(AG308="1",H308,0)</f>
        <v>0</v>
      </c>
      <c r="T308" s="11">
        <f>IF(AG308="7",G308,0)</f>
        <v>0</v>
      </c>
      <c r="U308" s="11">
        <f>IF(AG308="7",H308,0)</f>
        <v>0</v>
      </c>
      <c r="V308" s="11">
        <f>IF(AG308="2",G308,0)</f>
        <v>0</v>
      </c>
      <c r="W308" s="11">
        <f>IF(AG308="2",H308,0)</f>
        <v>0</v>
      </c>
      <c r="X308" s="11">
        <f>IF(AG308="0",I308,0)</f>
        <v>0</v>
      </c>
      <c r="Y308" s="6"/>
      <c r="Z308" s="4">
        <f>IF(AD308=0,I308,0)</f>
        <v>0</v>
      </c>
      <c r="AA308" s="4">
        <f>IF(AD308=15,I308,0)</f>
        <v>0</v>
      </c>
      <c r="AB308" s="4">
        <f>IF(AD308=21,I308,0)</f>
        <v>0</v>
      </c>
      <c r="AD308" s="11">
        <v>21</v>
      </c>
      <c r="AE308" s="11">
        <f>F308*0</f>
        <v>0</v>
      </c>
      <c r="AF308" s="11">
        <f>F308*(1-0)</f>
        <v>0</v>
      </c>
      <c r="AG308" s="7" t="s">
        <v>502</v>
      </c>
      <c r="AM308" s="11">
        <f>E308*AE308</f>
        <v>0</v>
      </c>
      <c r="AN308" s="11">
        <f>E308*AF308</f>
        <v>0</v>
      </c>
      <c r="AO308" s="12" t="s">
        <v>195</v>
      </c>
      <c r="AP308" s="12" t="s">
        <v>226</v>
      </c>
      <c r="AQ308" s="6" t="s">
        <v>234</v>
      </c>
      <c r="AS308" s="11">
        <f>AM308+AN308</f>
        <v>0</v>
      </c>
      <c r="AT308" s="11">
        <f>F308/(100-AU308)*100</f>
        <v>0</v>
      </c>
      <c r="AU308" s="11">
        <v>0</v>
      </c>
      <c r="AV308" s="11">
        <f>K308</f>
        <v>0</v>
      </c>
    </row>
    <row r="309" spans="1:37" ht="12.75">
      <c r="A309" s="66"/>
      <c r="B309" s="67" t="s">
        <v>996</v>
      </c>
      <c r="C309" s="305" t="s">
        <v>1527</v>
      </c>
      <c r="D309" s="306"/>
      <c r="E309" s="306"/>
      <c r="F309" s="306"/>
      <c r="G309" s="68">
        <f>SUM(G310:G337)</f>
        <v>0</v>
      </c>
      <c r="H309" s="68">
        <f>SUM(H310:H337)</f>
        <v>0</v>
      </c>
      <c r="I309" s="68">
        <f>G309+H309</f>
        <v>0</v>
      </c>
      <c r="J309" s="69"/>
      <c r="K309" s="68">
        <f>SUM(K310:K337)</f>
        <v>10.788101639999999</v>
      </c>
      <c r="L309" s="69"/>
      <c r="M309" s="39"/>
      <c r="N309" s="39"/>
      <c r="Y309" s="6"/>
      <c r="AI309" s="13">
        <f>SUM(Z310:Z337)</f>
        <v>0</v>
      </c>
      <c r="AJ309" s="13">
        <f>SUM(AA310:AA337)</f>
        <v>0</v>
      </c>
      <c r="AK309" s="13">
        <f>SUM(AB310:AB337)</f>
        <v>0</v>
      </c>
    </row>
    <row r="310" spans="1:48" ht="12.75">
      <c r="A310" s="59" t="s">
        <v>622</v>
      </c>
      <c r="B310" s="59" t="s">
        <v>997</v>
      </c>
      <c r="C310" s="59" t="s">
        <v>1528</v>
      </c>
      <c r="D310" s="59" t="s">
        <v>146</v>
      </c>
      <c r="E310" s="60">
        <v>161.05</v>
      </c>
      <c r="F310" s="61"/>
      <c r="G310" s="61">
        <f>E310*AE310</f>
        <v>0</v>
      </c>
      <c r="H310" s="61">
        <f>I310-G310</f>
        <v>0</v>
      </c>
      <c r="I310" s="61">
        <f>E310*F310</f>
        <v>0</v>
      </c>
      <c r="J310" s="61">
        <v>0.00032</v>
      </c>
      <c r="K310" s="61">
        <f>E310*J310</f>
        <v>0.051536000000000005</v>
      </c>
      <c r="L310" s="62" t="s">
        <v>170</v>
      </c>
      <c r="M310" s="39"/>
      <c r="N310" s="39"/>
      <c r="P310" s="11">
        <f>IF(AG310="5",I310,0)</f>
        <v>0</v>
      </c>
      <c r="R310" s="11">
        <f>IF(AG310="1",G310,0)</f>
        <v>0</v>
      </c>
      <c r="S310" s="11">
        <f>IF(AG310="1",H310,0)</f>
        <v>0</v>
      </c>
      <c r="T310" s="11">
        <f>IF(AG310="7",G310,0)</f>
        <v>0</v>
      </c>
      <c r="U310" s="11">
        <f>IF(AG310="7",H310,0)</f>
        <v>0</v>
      </c>
      <c r="V310" s="11">
        <f>IF(AG310="2",G310,0)</f>
        <v>0</v>
      </c>
      <c r="W310" s="11">
        <f>IF(AG310="2",H310,0)</f>
        <v>0</v>
      </c>
      <c r="X310" s="11">
        <f>IF(AG310="0",I310,0)</f>
        <v>0</v>
      </c>
      <c r="Y310" s="6"/>
      <c r="Z310" s="4">
        <f>IF(AD310=0,I310,0)</f>
        <v>0</v>
      </c>
      <c r="AA310" s="4">
        <f>IF(AD310=15,I310,0)</f>
        <v>0</v>
      </c>
      <c r="AB310" s="4">
        <f>IF(AD310=21,I310,0)</f>
        <v>0</v>
      </c>
      <c r="AD310" s="11">
        <v>21</v>
      </c>
      <c r="AE310" s="11">
        <f>F310*0.567067307692308</f>
        <v>0</v>
      </c>
      <c r="AF310" s="11">
        <f>F310*(1-0.567067307692308)</f>
        <v>0</v>
      </c>
      <c r="AG310" s="7" t="s">
        <v>504</v>
      </c>
      <c r="AM310" s="11">
        <f>E310*AE310</f>
        <v>0</v>
      </c>
      <c r="AN310" s="11">
        <f>E310*AF310</f>
        <v>0</v>
      </c>
      <c r="AO310" s="12" t="s">
        <v>196</v>
      </c>
      <c r="AP310" s="12" t="s">
        <v>226</v>
      </c>
      <c r="AQ310" s="6" t="s">
        <v>234</v>
      </c>
      <c r="AS310" s="11">
        <f>AM310+AN310</f>
        <v>0</v>
      </c>
      <c r="AT310" s="11">
        <f>F310/(100-AU310)*100</f>
        <v>0</v>
      </c>
      <c r="AU310" s="11">
        <v>0</v>
      </c>
      <c r="AV310" s="11">
        <f>K310</f>
        <v>0.051536000000000005</v>
      </c>
    </row>
    <row r="311" spans="1:14" ht="12.75">
      <c r="A311" s="39"/>
      <c r="B311" s="39"/>
      <c r="C311" s="63" t="s">
        <v>1529</v>
      </c>
      <c r="D311" s="39"/>
      <c r="E311" s="64">
        <v>62.4</v>
      </c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 ht="12.75">
      <c r="A312" s="39"/>
      <c r="B312" s="39"/>
      <c r="C312" s="63" t="s">
        <v>1530</v>
      </c>
      <c r="D312" s="39"/>
      <c r="E312" s="64">
        <v>53.1</v>
      </c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 ht="12.75">
      <c r="A313" s="39"/>
      <c r="B313" s="39"/>
      <c r="C313" s="63" t="s">
        <v>1531</v>
      </c>
      <c r="D313" s="39"/>
      <c r="E313" s="64">
        <v>45.55</v>
      </c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48" ht="12.75">
      <c r="A314" s="59" t="s">
        <v>623</v>
      </c>
      <c r="B314" s="59" t="s">
        <v>998</v>
      </c>
      <c r="C314" s="59" t="s">
        <v>1532</v>
      </c>
      <c r="D314" s="59" t="s">
        <v>142</v>
      </c>
      <c r="E314" s="60">
        <v>223.3</v>
      </c>
      <c r="F314" s="61"/>
      <c r="G314" s="61">
        <f>E314*AE314</f>
        <v>0</v>
      </c>
      <c r="H314" s="61">
        <f>I314-G314</f>
        <v>0</v>
      </c>
      <c r="I314" s="61">
        <f>E314*F314</f>
        <v>0</v>
      </c>
      <c r="J314" s="61">
        <v>0</v>
      </c>
      <c r="K314" s="61">
        <f>E314*J314</f>
        <v>0</v>
      </c>
      <c r="L314" s="62" t="s">
        <v>170</v>
      </c>
      <c r="M314" s="39"/>
      <c r="N314" s="39"/>
      <c r="P314" s="11">
        <f>IF(AG314="5",I314,0)</f>
        <v>0</v>
      </c>
      <c r="R314" s="11">
        <f>IF(AG314="1",G314,0)</f>
        <v>0</v>
      </c>
      <c r="S314" s="11">
        <f>IF(AG314="1",H314,0)</f>
        <v>0</v>
      </c>
      <c r="T314" s="11">
        <f>IF(AG314="7",G314,0)</f>
        <v>0</v>
      </c>
      <c r="U314" s="11">
        <f>IF(AG314="7",H314,0)</f>
        <v>0</v>
      </c>
      <c r="V314" s="11">
        <f>IF(AG314="2",G314,0)</f>
        <v>0</v>
      </c>
      <c r="W314" s="11">
        <f>IF(AG314="2",H314,0)</f>
        <v>0</v>
      </c>
      <c r="X314" s="11">
        <f>IF(AG314="0",I314,0)</f>
        <v>0</v>
      </c>
      <c r="Y314" s="6"/>
      <c r="Z314" s="4">
        <f>IF(AD314=0,I314,0)</f>
        <v>0</v>
      </c>
      <c r="AA314" s="4">
        <f>IF(AD314=15,I314,0)</f>
        <v>0</v>
      </c>
      <c r="AB314" s="4">
        <f>IF(AD314=21,I314,0)</f>
        <v>0</v>
      </c>
      <c r="AD314" s="11">
        <v>21</v>
      </c>
      <c r="AE314" s="11">
        <f>F314*0</f>
        <v>0</v>
      </c>
      <c r="AF314" s="11">
        <f>F314*(1-0)</f>
        <v>0</v>
      </c>
      <c r="AG314" s="7" t="s">
        <v>504</v>
      </c>
      <c r="AM314" s="11">
        <f>E314*AE314</f>
        <v>0</v>
      </c>
      <c r="AN314" s="11">
        <f>E314*AF314</f>
        <v>0</v>
      </c>
      <c r="AO314" s="12" t="s">
        <v>196</v>
      </c>
      <c r="AP314" s="12" t="s">
        <v>226</v>
      </c>
      <c r="AQ314" s="6" t="s">
        <v>234</v>
      </c>
      <c r="AS314" s="11">
        <f>AM314+AN314</f>
        <v>0</v>
      </c>
      <c r="AT314" s="11">
        <f>F314/(100-AU314)*100</f>
        <v>0</v>
      </c>
      <c r="AU314" s="11">
        <v>0</v>
      </c>
      <c r="AV314" s="11">
        <f>K314</f>
        <v>0</v>
      </c>
    </row>
    <row r="315" spans="1:14" ht="12.75">
      <c r="A315" s="39"/>
      <c r="B315" s="39"/>
      <c r="C315" s="63" t="s">
        <v>1493</v>
      </c>
      <c r="D315" s="39"/>
      <c r="E315" s="64">
        <v>223.3</v>
      </c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48" ht="12.75">
      <c r="A316" s="70" t="s">
        <v>624</v>
      </c>
      <c r="B316" s="70" t="s">
        <v>999</v>
      </c>
      <c r="C316" s="70" t="s">
        <v>1533</v>
      </c>
      <c r="D316" s="70" t="s">
        <v>141</v>
      </c>
      <c r="E316" s="71">
        <v>18.757</v>
      </c>
      <c r="F316" s="72"/>
      <c r="G316" s="72">
        <f>E316*AE316</f>
        <v>0</v>
      </c>
      <c r="H316" s="72">
        <f>I316-G316</f>
        <v>0</v>
      </c>
      <c r="I316" s="72">
        <f>E316*F316</f>
        <v>0</v>
      </c>
      <c r="J316" s="72">
        <v>0.03</v>
      </c>
      <c r="K316" s="72">
        <f>E316*J316</f>
        <v>0.56271</v>
      </c>
      <c r="L316" s="73" t="s">
        <v>170</v>
      </c>
      <c r="M316" s="39"/>
      <c r="N316" s="39"/>
      <c r="P316" s="11">
        <f>IF(AG316="5",I316,0)</f>
        <v>0</v>
      </c>
      <c r="R316" s="11">
        <f>IF(AG316="1",G316,0)</f>
        <v>0</v>
      </c>
      <c r="S316" s="11">
        <f>IF(AG316="1",H316,0)</f>
        <v>0</v>
      </c>
      <c r="T316" s="11">
        <f>IF(AG316="7",G316,0)</f>
        <v>0</v>
      </c>
      <c r="U316" s="11">
        <f>IF(AG316="7",H316,0)</f>
        <v>0</v>
      </c>
      <c r="V316" s="11">
        <f>IF(AG316="2",G316,0)</f>
        <v>0</v>
      </c>
      <c r="W316" s="11">
        <f>IF(AG316="2",H316,0)</f>
        <v>0</v>
      </c>
      <c r="X316" s="11">
        <f>IF(AG316="0",I316,0)</f>
        <v>0</v>
      </c>
      <c r="Y316" s="6"/>
      <c r="Z316" s="5">
        <f>IF(AD316=0,I316,0)</f>
        <v>0</v>
      </c>
      <c r="AA316" s="5">
        <f>IF(AD316=15,I316,0)</f>
        <v>0</v>
      </c>
      <c r="AB316" s="5">
        <f>IF(AD316=21,I316,0)</f>
        <v>0</v>
      </c>
      <c r="AD316" s="11">
        <v>21</v>
      </c>
      <c r="AE316" s="11">
        <f>F316*1</f>
        <v>0</v>
      </c>
      <c r="AF316" s="11">
        <f>F316*(1-1)</f>
        <v>0</v>
      </c>
      <c r="AG316" s="8" t="s">
        <v>504</v>
      </c>
      <c r="AM316" s="11">
        <f>E316*AE316</f>
        <v>0</v>
      </c>
      <c r="AN316" s="11">
        <f>E316*AF316</f>
        <v>0</v>
      </c>
      <c r="AO316" s="12" t="s">
        <v>196</v>
      </c>
      <c r="AP316" s="12" t="s">
        <v>226</v>
      </c>
      <c r="AQ316" s="6" t="s">
        <v>234</v>
      </c>
      <c r="AS316" s="11">
        <f>AM316+AN316</f>
        <v>0</v>
      </c>
      <c r="AT316" s="11">
        <f>F316/(100-AU316)*100</f>
        <v>0</v>
      </c>
      <c r="AU316" s="11">
        <v>0</v>
      </c>
      <c r="AV316" s="11">
        <f>K316</f>
        <v>0.56271</v>
      </c>
    </row>
    <row r="317" spans="1:14" ht="12.75">
      <c r="A317" s="39"/>
      <c r="B317" s="39"/>
      <c r="C317" s="63" t="s">
        <v>1534</v>
      </c>
      <c r="D317" s="39"/>
      <c r="E317" s="64">
        <v>17.864</v>
      </c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 ht="12.75">
      <c r="A318" s="39"/>
      <c r="B318" s="39"/>
      <c r="C318" s="63" t="s">
        <v>1535</v>
      </c>
      <c r="D318" s="39"/>
      <c r="E318" s="64">
        <v>0.893</v>
      </c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48" ht="12.75">
      <c r="A319" s="59" t="s">
        <v>625</v>
      </c>
      <c r="B319" s="59" t="s">
        <v>1000</v>
      </c>
      <c r="C319" s="59" t="s">
        <v>1536</v>
      </c>
      <c r="D319" s="59" t="s">
        <v>142</v>
      </c>
      <c r="E319" s="60">
        <v>301.9</v>
      </c>
      <c r="F319" s="61"/>
      <c r="G319" s="61">
        <f>E319*AE319</f>
        <v>0</v>
      </c>
      <c r="H319" s="61">
        <f>I319-G319</f>
        <v>0</v>
      </c>
      <c r="I319" s="61">
        <f>E319*F319</f>
        <v>0</v>
      </c>
      <c r="J319" s="61">
        <v>0.00066</v>
      </c>
      <c r="K319" s="61">
        <f>E319*J319</f>
        <v>0.199254</v>
      </c>
      <c r="L319" s="62" t="s">
        <v>170</v>
      </c>
      <c r="M319" s="39"/>
      <c r="N319" s="39"/>
      <c r="P319" s="11">
        <f>IF(AG319="5",I319,0)</f>
        <v>0</v>
      </c>
      <c r="R319" s="11">
        <f>IF(AG319="1",G319,0)</f>
        <v>0</v>
      </c>
      <c r="S319" s="11">
        <f>IF(AG319="1",H319,0)</f>
        <v>0</v>
      </c>
      <c r="T319" s="11">
        <f>IF(AG319="7",G319,0)</f>
        <v>0</v>
      </c>
      <c r="U319" s="11">
        <f>IF(AG319="7",H319,0)</f>
        <v>0</v>
      </c>
      <c r="V319" s="11">
        <f>IF(AG319="2",G319,0)</f>
        <v>0</v>
      </c>
      <c r="W319" s="11">
        <f>IF(AG319="2",H319,0)</f>
        <v>0</v>
      </c>
      <c r="X319" s="11">
        <f>IF(AG319="0",I319,0)</f>
        <v>0</v>
      </c>
      <c r="Y319" s="6"/>
      <c r="Z319" s="4">
        <f>IF(AD319=0,I319,0)</f>
        <v>0</v>
      </c>
      <c r="AA319" s="4">
        <f>IF(AD319=15,I319,0)</f>
        <v>0</v>
      </c>
      <c r="AB319" s="4">
        <f>IF(AD319=21,I319,0)</f>
        <v>0</v>
      </c>
      <c r="AD319" s="11">
        <v>21</v>
      </c>
      <c r="AE319" s="11">
        <f>F319*0.236060606060606</f>
        <v>0</v>
      </c>
      <c r="AF319" s="11">
        <f>F319*(1-0.236060606060606)</f>
        <v>0</v>
      </c>
      <c r="AG319" s="7" t="s">
        <v>504</v>
      </c>
      <c r="AM319" s="11">
        <f>E319*AE319</f>
        <v>0</v>
      </c>
      <c r="AN319" s="11">
        <f>E319*AF319</f>
        <v>0</v>
      </c>
      <c r="AO319" s="12" t="s">
        <v>196</v>
      </c>
      <c r="AP319" s="12" t="s">
        <v>226</v>
      </c>
      <c r="AQ319" s="6" t="s">
        <v>234</v>
      </c>
      <c r="AS319" s="11">
        <f>AM319+AN319</f>
        <v>0</v>
      </c>
      <c r="AT319" s="11">
        <f>F319/(100-AU319)*100</f>
        <v>0</v>
      </c>
      <c r="AU319" s="11">
        <v>0</v>
      </c>
      <c r="AV319" s="11">
        <f>K319</f>
        <v>0.199254</v>
      </c>
    </row>
    <row r="320" spans="1:14" ht="12.75">
      <c r="A320" s="39"/>
      <c r="B320" s="39"/>
      <c r="C320" s="63" t="s">
        <v>1537</v>
      </c>
      <c r="D320" s="39"/>
      <c r="E320" s="64">
        <v>301.9</v>
      </c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48" ht="12.75">
      <c r="A321" s="59" t="s">
        <v>626</v>
      </c>
      <c r="B321" s="59" t="s">
        <v>1001</v>
      </c>
      <c r="C321" s="59" t="s">
        <v>1538</v>
      </c>
      <c r="D321" s="59" t="s">
        <v>142</v>
      </c>
      <c r="E321" s="60">
        <v>78.6</v>
      </c>
      <c r="F321" s="61"/>
      <c r="G321" s="61">
        <f>E321*AE321</f>
        <v>0</v>
      </c>
      <c r="H321" s="61">
        <f>I321-G321</f>
        <v>0</v>
      </c>
      <c r="I321" s="61">
        <f>E321*F321</f>
        <v>0</v>
      </c>
      <c r="J321" s="61">
        <v>0</v>
      </c>
      <c r="K321" s="61">
        <f>E321*J321</f>
        <v>0</v>
      </c>
      <c r="L321" s="62" t="s">
        <v>170</v>
      </c>
      <c r="M321" s="39"/>
      <c r="N321" s="39"/>
      <c r="P321" s="11">
        <f>IF(AG321="5",I321,0)</f>
        <v>0</v>
      </c>
      <c r="R321" s="11">
        <f>IF(AG321="1",G321,0)</f>
        <v>0</v>
      </c>
      <c r="S321" s="11">
        <f>IF(AG321="1",H321,0)</f>
        <v>0</v>
      </c>
      <c r="T321" s="11">
        <f>IF(AG321="7",G321,0)</f>
        <v>0</v>
      </c>
      <c r="U321" s="11">
        <f>IF(AG321="7",H321,0)</f>
        <v>0</v>
      </c>
      <c r="V321" s="11">
        <f>IF(AG321="2",G321,0)</f>
        <v>0</v>
      </c>
      <c r="W321" s="11">
        <f>IF(AG321="2",H321,0)</f>
        <v>0</v>
      </c>
      <c r="X321" s="11">
        <f>IF(AG321="0",I321,0)</f>
        <v>0</v>
      </c>
      <c r="Y321" s="6"/>
      <c r="Z321" s="4">
        <f>IF(AD321=0,I321,0)</f>
        <v>0</v>
      </c>
      <c r="AA321" s="4">
        <f>IF(AD321=15,I321,0)</f>
        <v>0</v>
      </c>
      <c r="AB321" s="4">
        <f>IF(AD321=21,I321,0)</f>
        <v>0</v>
      </c>
      <c r="AD321" s="11">
        <v>21</v>
      </c>
      <c r="AE321" s="11">
        <f>F321*0</f>
        <v>0</v>
      </c>
      <c r="AF321" s="11">
        <f>F321*(1-0)</f>
        <v>0</v>
      </c>
      <c r="AG321" s="7" t="s">
        <v>504</v>
      </c>
      <c r="AM321" s="11">
        <f>E321*AE321</f>
        <v>0</v>
      </c>
      <c r="AN321" s="11">
        <f>E321*AF321</f>
        <v>0</v>
      </c>
      <c r="AO321" s="12" t="s">
        <v>196</v>
      </c>
      <c r="AP321" s="12" t="s">
        <v>226</v>
      </c>
      <c r="AQ321" s="6" t="s">
        <v>234</v>
      </c>
      <c r="AS321" s="11">
        <f>AM321+AN321</f>
        <v>0</v>
      </c>
      <c r="AT321" s="11">
        <f>F321/(100-AU321)*100</f>
        <v>0</v>
      </c>
      <c r="AU321" s="11">
        <v>0</v>
      </c>
      <c r="AV321" s="11">
        <f>K321</f>
        <v>0</v>
      </c>
    </row>
    <row r="322" spans="1:14" ht="12.75">
      <c r="A322" s="39"/>
      <c r="B322" s="39"/>
      <c r="C322" s="63" t="s">
        <v>1539</v>
      </c>
      <c r="D322" s="39"/>
      <c r="E322" s="64">
        <v>32.6</v>
      </c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 ht="12.75">
      <c r="A323" s="39"/>
      <c r="B323" s="39"/>
      <c r="C323" s="63" t="s">
        <v>1540</v>
      </c>
      <c r="D323" s="39"/>
      <c r="E323" s="64">
        <v>46</v>
      </c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48" ht="12.75">
      <c r="A324" s="70" t="s">
        <v>627</v>
      </c>
      <c r="B324" s="70" t="s">
        <v>1002</v>
      </c>
      <c r="C324" s="70" t="s">
        <v>1541</v>
      </c>
      <c r="D324" s="70" t="s">
        <v>141</v>
      </c>
      <c r="E324" s="71">
        <v>9.904</v>
      </c>
      <c r="F324" s="72"/>
      <c r="G324" s="72">
        <f>E324*AE324</f>
        <v>0</v>
      </c>
      <c r="H324" s="72">
        <f>I324-G324</f>
        <v>0</v>
      </c>
      <c r="I324" s="72">
        <f>E324*F324</f>
        <v>0</v>
      </c>
      <c r="J324" s="72">
        <v>0.025</v>
      </c>
      <c r="K324" s="72">
        <f>E324*J324</f>
        <v>0.24760000000000001</v>
      </c>
      <c r="L324" s="73" t="s">
        <v>170</v>
      </c>
      <c r="M324" s="39"/>
      <c r="N324" s="39"/>
      <c r="P324" s="11">
        <f>IF(AG324="5",I324,0)</f>
        <v>0</v>
      </c>
      <c r="R324" s="11">
        <f>IF(AG324="1",G324,0)</f>
        <v>0</v>
      </c>
      <c r="S324" s="11">
        <f>IF(AG324="1",H324,0)</f>
        <v>0</v>
      </c>
      <c r="T324" s="11">
        <f>IF(AG324="7",G324,0)</f>
        <v>0</v>
      </c>
      <c r="U324" s="11">
        <f>IF(AG324="7",H324,0)</f>
        <v>0</v>
      </c>
      <c r="V324" s="11">
        <f>IF(AG324="2",G324,0)</f>
        <v>0</v>
      </c>
      <c r="W324" s="11">
        <f>IF(AG324="2",H324,0)</f>
        <v>0</v>
      </c>
      <c r="X324" s="11">
        <f>IF(AG324="0",I324,0)</f>
        <v>0</v>
      </c>
      <c r="Y324" s="6"/>
      <c r="Z324" s="5">
        <f>IF(AD324=0,I324,0)</f>
        <v>0</v>
      </c>
      <c r="AA324" s="5">
        <f>IF(AD324=15,I324,0)</f>
        <v>0</v>
      </c>
      <c r="AB324" s="5">
        <f>IF(AD324=21,I324,0)</f>
        <v>0</v>
      </c>
      <c r="AD324" s="11">
        <v>21</v>
      </c>
      <c r="AE324" s="11">
        <f>F324*1</f>
        <v>0</v>
      </c>
      <c r="AF324" s="11">
        <f>F324*(1-1)</f>
        <v>0</v>
      </c>
      <c r="AG324" s="8" t="s">
        <v>504</v>
      </c>
      <c r="AM324" s="11">
        <f>E324*AE324</f>
        <v>0</v>
      </c>
      <c r="AN324" s="11">
        <f>E324*AF324</f>
        <v>0</v>
      </c>
      <c r="AO324" s="12" t="s">
        <v>196</v>
      </c>
      <c r="AP324" s="12" t="s">
        <v>226</v>
      </c>
      <c r="AQ324" s="6" t="s">
        <v>234</v>
      </c>
      <c r="AS324" s="11">
        <f>AM324+AN324</f>
        <v>0</v>
      </c>
      <c r="AT324" s="11">
        <f>F324/(100-AU324)*100</f>
        <v>0</v>
      </c>
      <c r="AU324" s="11">
        <v>0</v>
      </c>
      <c r="AV324" s="11">
        <f>K324</f>
        <v>0.24760000000000001</v>
      </c>
    </row>
    <row r="325" spans="1:14" ht="12.75">
      <c r="A325" s="39"/>
      <c r="B325" s="39"/>
      <c r="C325" s="63" t="s">
        <v>1542</v>
      </c>
      <c r="D325" s="39"/>
      <c r="E325" s="64">
        <v>9.432</v>
      </c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 ht="12.75">
      <c r="A326" s="39"/>
      <c r="B326" s="39"/>
      <c r="C326" s="63" t="s">
        <v>1543</v>
      </c>
      <c r="D326" s="39"/>
      <c r="E326" s="64">
        <v>0.472</v>
      </c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48" ht="12.75">
      <c r="A327" s="59" t="s">
        <v>628</v>
      </c>
      <c r="B327" s="59" t="s">
        <v>1003</v>
      </c>
      <c r="C327" s="59" t="s">
        <v>1544</v>
      </c>
      <c r="D327" s="59" t="s">
        <v>142</v>
      </c>
      <c r="E327" s="60">
        <v>345.96</v>
      </c>
      <c r="F327" s="61"/>
      <c r="G327" s="61">
        <f>E327*AE327</f>
        <v>0</v>
      </c>
      <c r="H327" s="61">
        <f>I327-G327</f>
        <v>0</v>
      </c>
      <c r="I327" s="61">
        <f>E327*F327</f>
        <v>0</v>
      </c>
      <c r="J327" s="61">
        <v>0.00015</v>
      </c>
      <c r="K327" s="61">
        <f>E327*J327</f>
        <v>0.051893999999999996</v>
      </c>
      <c r="L327" s="62" t="s">
        <v>170</v>
      </c>
      <c r="M327" s="39"/>
      <c r="N327" s="39"/>
      <c r="P327" s="11">
        <f>IF(AG327="5",I327,0)</f>
        <v>0</v>
      </c>
      <c r="R327" s="11">
        <f>IF(AG327="1",G327,0)</f>
        <v>0</v>
      </c>
      <c r="S327" s="11">
        <f>IF(AG327="1",H327,0)</f>
        <v>0</v>
      </c>
      <c r="T327" s="11">
        <f>IF(AG327="7",G327,0)</f>
        <v>0</v>
      </c>
      <c r="U327" s="11">
        <f>IF(AG327="7",H327,0)</f>
        <v>0</v>
      </c>
      <c r="V327" s="11">
        <f>IF(AG327="2",G327,0)</f>
        <v>0</v>
      </c>
      <c r="W327" s="11">
        <f>IF(AG327="2",H327,0)</f>
        <v>0</v>
      </c>
      <c r="X327" s="11">
        <f>IF(AG327="0",I327,0)</f>
        <v>0</v>
      </c>
      <c r="Y327" s="6"/>
      <c r="Z327" s="4">
        <f>IF(AD327=0,I327,0)</f>
        <v>0</v>
      </c>
      <c r="AA327" s="4">
        <f>IF(AD327=15,I327,0)</f>
        <v>0</v>
      </c>
      <c r="AB327" s="4">
        <f>IF(AD327=21,I327,0)</f>
        <v>0</v>
      </c>
      <c r="AD327" s="11">
        <v>21</v>
      </c>
      <c r="AE327" s="11">
        <f>F327*0.638242677824268</f>
        <v>0</v>
      </c>
      <c r="AF327" s="11">
        <f>F327*(1-0.638242677824268)</f>
        <v>0</v>
      </c>
      <c r="AG327" s="7" t="s">
        <v>504</v>
      </c>
      <c r="AM327" s="11">
        <f>E327*AE327</f>
        <v>0</v>
      </c>
      <c r="AN327" s="11">
        <f>E327*AF327</f>
        <v>0</v>
      </c>
      <c r="AO327" s="12" t="s">
        <v>196</v>
      </c>
      <c r="AP327" s="12" t="s">
        <v>226</v>
      </c>
      <c r="AQ327" s="6" t="s">
        <v>234</v>
      </c>
      <c r="AS327" s="11">
        <f>AM327+AN327</f>
        <v>0</v>
      </c>
      <c r="AT327" s="11">
        <f>F327/(100-AU327)*100</f>
        <v>0</v>
      </c>
      <c r="AU327" s="11">
        <v>0</v>
      </c>
      <c r="AV327" s="11">
        <f>K327</f>
        <v>0.051893999999999996</v>
      </c>
    </row>
    <row r="328" spans="1:14" ht="12.75">
      <c r="A328" s="39"/>
      <c r="B328" s="39"/>
      <c r="C328" s="63" t="s">
        <v>1545</v>
      </c>
      <c r="D328" s="39"/>
      <c r="E328" s="64">
        <v>345.96</v>
      </c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48" ht="12.75">
      <c r="A329" s="70" t="s">
        <v>629</v>
      </c>
      <c r="B329" s="70" t="s">
        <v>1004</v>
      </c>
      <c r="C329" s="70" t="s">
        <v>1546</v>
      </c>
      <c r="D329" s="70" t="s">
        <v>142</v>
      </c>
      <c r="E329" s="71">
        <v>363.258</v>
      </c>
      <c r="F329" s="72"/>
      <c r="G329" s="72">
        <f>E329*AE329</f>
        <v>0</v>
      </c>
      <c r="H329" s="72">
        <f>I329-G329</f>
        <v>0</v>
      </c>
      <c r="I329" s="72">
        <f>E329*F329</f>
        <v>0</v>
      </c>
      <c r="J329" s="72">
        <v>0.02658</v>
      </c>
      <c r="K329" s="72">
        <f>E329*J329</f>
        <v>9.655397639999999</v>
      </c>
      <c r="L329" s="73" t="s">
        <v>170</v>
      </c>
      <c r="M329" s="39"/>
      <c r="N329" s="39"/>
      <c r="P329" s="11">
        <f>IF(AG329="5",I329,0)</f>
        <v>0</v>
      </c>
      <c r="R329" s="11">
        <f>IF(AG329="1",G329,0)</f>
        <v>0</v>
      </c>
      <c r="S329" s="11">
        <f>IF(AG329="1",H329,0)</f>
        <v>0</v>
      </c>
      <c r="T329" s="11">
        <f>IF(AG329="7",G329,0)</f>
        <v>0</v>
      </c>
      <c r="U329" s="11">
        <f>IF(AG329="7",H329,0)</f>
        <v>0</v>
      </c>
      <c r="V329" s="11">
        <f>IF(AG329="2",G329,0)</f>
        <v>0</v>
      </c>
      <c r="W329" s="11">
        <f>IF(AG329="2",H329,0)</f>
        <v>0</v>
      </c>
      <c r="X329" s="11">
        <f>IF(AG329="0",I329,0)</f>
        <v>0</v>
      </c>
      <c r="Y329" s="6"/>
      <c r="Z329" s="5">
        <f>IF(AD329=0,I329,0)</f>
        <v>0</v>
      </c>
      <c r="AA329" s="5">
        <f>IF(AD329=15,I329,0)</f>
        <v>0</v>
      </c>
      <c r="AB329" s="5">
        <f>IF(AD329=21,I329,0)</f>
        <v>0</v>
      </c>
      <c r="AD329" s="11">
        <v>21</v>
      </c>
      <c r="AE329" s="11">
        <f>F329*1</f>
        <v>0</v>
      </c>
      <c r="AF329" s="11">
        <f>F329*(1-1)</f>
        <v>0</v>
      </c>
      <c r="AG329" s="8" t="s">
        <v>504</v>
      </c>
      <c r="AM329" s="11">
        <f>E329*AE329</f>
        <v>0</v>
      </c>
      <c r="AN329" s="11">
        <f>E329*AF329</f>
        <v>0</v>
      </c>
      <c r="AO329" s="12" t="s">
        <v>196</v>
      </c>
      <c r="AP329" s="12" t="s">
        <v>226</v>
      </c>
      <c r="AQ329" s="6" t="s">
        <v>234</v>
      </c>
      <c r="AS329" s="11">
        <f>AM329+AN329</f>
        <v>0</v>
      </c>
      <c r="AT329" s="11">
        <f>F329/(100-AU329)*100</f>
        <v>0</v>
      </c>
      <c r="AU329" s="11">
        <v>0</v>
      </c>
      <c r="AV329" s="11">
        <f>K329</f>
        <v>9.655397639999999</v>
      </c>
    </row>
    <row r="330" spans="1:14" ht="12.75">
      <c r="A330" s="39"/>
      <c r="B330" s="39"/>
      <c r="C330" s="63" t="s">
        <v>1547</v>
      </c>
      <c r="D330" s="39"/>
      <c r="E330" s="64">
        <v>345.96</v>
      </c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 ht="12.75">
      <c r="A331" s="39"/>
      <c r="B331" s="39"/>
      <c r="C331" s="63" t="s">
        <v>1548</v>
      </c>
      <c r="D331" s="39"/>
      <c r="E331" s="64">
        <v>17.298</v>
      </c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48" ht="12.75">
      <c r="A332" s="59" t="s">
        <v>630</v>
      </c>
      <c r="B332" s="59" t="s">
        <v>998</v>
      </c>
      <c r="C332" s="59" t="s">
        <v>1532</v>
      </c>
      <c r="D332" s="59" t="s">
        <v>142</v>
      </c>
      <c r="E332" s="60">
        <v>6.258</v>
      </c>
      <c r="F332" s="61"/>
      <c r="G332" s="61">
        <f>E332*AE332</f>
        <v>0</v>
      </c>
      <c r="H332" s="61">
        <f>I332-G332</f>
        <v>0</v>
      </c>
      <c r="I332" s="61">
        <f>E332*F332</f>
        <v>0</v>
      </c>
      <c r="J332" s="61">
        <v>0</v>
      </c>
      <c r="K332" s="61">
        <f>E332*J332</f>
        <v>0</v>
      </c>
      <c r="L332" s="62" t="s">
        <v>170</v>
      </c>
      <c r="M332" s="39"/>
      <c r="N332" s="39"/>
      <c r="P332" s="11">
        <f>IF(AG332="5",I332,0)</f>
        <v>0</v>
      </c>
      <c r="R332" s="11">
        <f>IF(AG332="1",G332,0)</f>
        <v>0</v>
      </c>
      <c r="S332" s="11">
        <f>IF(AG332="1",H332,0)</f>
        <v>0</v>
      </c>
      <c r="T332" s="11">
        <f>IF(AG332="7",G332,0)</f>
        <v>0</v>
      </c>
      <c r="U332" s="11">
        <f>IF(AG332="7",H332,0)</f>
        <v>0</v>
      </c>
      <c r="V332" s="11">
        <f>IF(AG332="2",G332,0)</f>
        <v>0</v>
      </c>
      <c r="W332" s="11">
        <f>IF(AG332="2",H332,0)</f>
        <v>0</v>
      </c>
      <c r="X332" s="11">
        <f>IF(AG332="0",I332,0)</f>
        <v>0</v>
      </c>
      <c r="Y332" s="6"/>
      <c r="Z332" s="4">
        <f>IF(AD332=0,I332,0)</f>
        <v>0</v>
      </c>
      <c r="AA332" s="4">
        <f>IF(AD332=15,I332,0)</f>
        <v>0</v>
      </c>
      <c r="AB332" s="4">
        <f>IF(AD332=21,I332,0)</f>
        <v>0</v>
      </c>
      <c r="AD332" s="11">
        <v>21</v>
      </c>
      <c r="AE332" s="11">
        <f>F332*0</f>
        <v>0</v>
      </c>
      <c r="AF332" s="11">
        <f>F332*(1-0)</f>
        <v>0</v>
      </c>
      <c r="AG332" s="7" t="s">
        <v>504</v>
      </c>
      <c r="AM332" s="11">
        <f>E332*AE332</f>
        <v>0</v>
      </c>
      <c r="AN332" s="11">
        <f>E332*AF332</f>
        <v>0</v>
      </c>
      <c r="AO332" s="12" t="s">
        <v>196</v>
      </c>
      <c r="AP332" s="12" t="s">
        <v>226</v>
      </c>
      <c r="AQ332" s="6" t="s">
        <v>234</v>
      </c>
      <c r="AS332" s="11">
        <f>AM332+AN332</f>
        <v>0</v>
      </c>
      <c r="AT332" s="11">
        <f>F332/(100-AU332)*100</f>
        <v>0</v>
      </c>
      <c r="AU332" s="11">
        <v>0</v>
      </c>
      <c r="AV332" s="11">
        <f>K332</f>
        <v>0</v>
      </c>
    </row>
    <row r="333" spans="1:14" ht="12.75">
      <c r="A333" s="39"/>
      <c r="B333" s="39"/>
      <c r="C333" s="63" t="s">
        <v>1284</v>
      </c>
      <c r="D333" s="39"/>
      <c r="E333" s="64">
        <v>6.258</v>
      </c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48" ht="12.75">
      <c r="A334" s="70" t="s">
        <v>631</v>
      </c>
      <c r="B334" s="70" t="s">
        <v>999</v>
      </c>
      <c r="C334" s="70" t="s">
        <v>1533</v>
      </c>
      <c r="D334" s="70" t="s">
        <v>141</v>
      </c>
      <c r="E334" s="71">
        <v>0.657</v>
      </c>
      <c r="F334" s="72"/>
      <c r="G334" s="72">
        <f>E334*AE334</f>
        <v>0</v>
      </c>
      <c r="H334" s="72">
        <f>I334-G334</f>
        <v>0</v>
      </c>
      <c r="I334" s="72">
        <f>E334*F334</f>
        <v>0</v>
      </c>
      <c r="J334" s="72">
        <v>0.03</v>
      </c>
      <c r="K334" s="72">
        <f>E334*J334</f>
        <v>0.019710000000000002</v>
      </c>
      <c r="L334" s="73" t="s">
        <v>170</v>
      </c>
      <c r="M334" s="39"/>
      <c r="N334" s="39"/>
      <c r="P334" s="11">
        <f>IF(AG334="5",I334,0)</f>
        <v>0</v>
      </c>
      <c r="R334" s="11">
        <f>IF(AG334="1",G334,0)</f>
        <v>0</v>
      </c>
      <c r="S334" s="11">
        <f>IF(AG334="1",H334,0)</f>
        <v>0</v>
      </c>
      <c r="T334" s="11">
        <f>IF(AG334="7",G334,0)</f>
        <v>0</v>
      </c>
      <c r="U334" s="11">
        <f>IF(AG334="7",H334,0)</f>
        <v>0</v>
      </c>
      <c r="V334" s="11">
        <f>IF(AG334="2",G334,0)</f>
        <v>0</v>
      </c>
      <c r="W334" s="11">
        <f>IF(AG334="2",H334,0)</f>
        <v>0</v>
      </c>
      <c r="X334" s="11">
        <f>IF(AG334="0",I334,0)</f>
        <v>0</v>
      </c>
      <c r="Y334" s="6"/>
      <c r="Z334" s="5">
        <f>IF(AD334=0,I334,0)</f>
        <v>0</v>
      </c>
      <c r="AA334" s="5">
        <f>IF(AD334=15,I334,0)</f>
        <v>0</v>
      </c>
      <c r="AB334" s="5">
        <f>IF(AD334=21,I334,0)</f>
        <v>0</v>
      </c>
      <c r="AD334" s="11">
        <v>21</v>
      </c>
      <c r="AE334" s="11">
        <f>F334*1</f>
        <v>0</v>
      </c>
      <c r="AF334" s="11">
        <f>F334*(1-1)</f>
        <v>0</v>
      </c>
      <c r="AG334" s="8" t="s">
        <v>504</v>
      </c>
      <c r="AM334" s="11">
        <f>E334*AE334</f>
        <v>0</v>
      </c>
      <c r="AN334" s="11">
        <f>E334*AF334</f>
        <v>0</v>
      </c>
      <c r="AO334" s="12" t="s">
        <v>196</v>
      </c>
      <c r="AP334" s="12" t="s">
        <v>226</v>
      </c>
      <c r="AQ334" s="6" t="s">
        <v>234</v>
      </c>
      <c r="AS334" s="11">
        <f>AM334+AN334</f>
        <v>0</v>
      </c>
      <c r="AT334" s="11">
        <f>F334/(100-AU334)*100</f>
        <v>0</v>
      </c>
      <c r="AU334" s="11">
        <v>0</v>
      </c>
      <c r="AV334" s="11">
        <f>K334</f>
        <v>0.019710000000000002</v>
      </c>
    </row>
    <row r="335" spans="1:14" ht="12.75">
      <c r="A335" s="39"/>
      <c r="B335" s="39"/>
      <c r="C335" s="63" t="s">
        <v>1549</v>
      </c>
      <c r="D335" s="39"/>
      <c r="E335" s="64">
        <v>0.626</v>
      </c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 ht="12.75">
      <c r="A336" s="39"/>
      <c r="B336" s="39"/>
      <c r="C336" s="63" t="s">
        <v>1550</v>
      </c>
      <c r="D336" s="39"/>
      <c r="E336" s="64">
        <v>0.031</v>
      </c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48" ht="12.75">
      <c r="A337" s="59" t="s">
        <v>632</v>
      </c>
      <c r="B337" s="59" t="s">
        <v>1005</v>
      </c>
      <c r="C337" s="59" t="s">
        <v>1551</v>
      </c>
      <c r="D337" s="59" t="s">
        <v>143</v>
      </c>
      <c r="E337" s="60">
        <v>10.788</v>
      </c>
      <c r="F337" s="61"/>
      <c r="G337" s="61">
        <f>E337*AE337</f>
        <v>0</v>
      </c>
      <c r="H337" s="61">
        <f>I337-G337</f>
        <v>0</v>
      </c>
      <c r="I337" s="61">
        <f>E337*F337</f>
        <v>0</v>
      </c>
      <c r="J337" s="61">
        <v>0</v>
      </c>
      <c r="K337" s="61">
        <f>E337*J337</f>
        <v>0</v>
      </c>
      <c r="L337" s="62" t="s">
        <v>170</v>
      </c>
      <c r="M337" s="39"/>
      <c r="N337" s="39"/>
      <c r="P337" s="11">
        <f>IF(AG337="5",I337,0)</f>
        <v>0</v>
      </c>
      <c r="R337" s="11">
        <f>IF(AG337="1",G337,0)</f>
        <v>0</v>
      </c>
      <c r="S337" s="11">
        <f>IF(AG337="1",H337,0)</f>
        <v>0</v>
      </c>
      <c r="T337" s="11">
        <f>IF(AG337="7",G337,0)</f>
        <v>0</v>
      </c>
      <c r="U337" s="11">
        <f>IF(AG337="7",H337,0)</f>
        <v>0</v>
      </c>
      <c r="V337" s="11">
        <f>IF(AG337="2",G337,0)</f>
        <v>0</v>
      </c>
      <c r="W337" s="11">
        <f>IF(AG337="2",H337,0)</f>
        <v>0</v>
      </c>
      <c r="X337" s="11">
        <f>IF(AG337="0",I337,0)</f>
        <v>0</v>
      </c>
      <c r="Y337" s="6"/>
      <c r="Z337" s="4">
        <f>IF(AD337=0,I337,0)</f>
        <v>0</v>
      </c>
      <c r="AA337" s="4">
        <f>IF(AD337=15,I337,0)</f>
        <v>0</v>
      </c>
      <c r="AB337" s="4">
        <f>IF(AD337=21,I337,0)</f>
        <v>0</v>
      </c>
      <c r="AD337" s="11">
        <v>21</v>
      </c>
      <c r="AE337" s="11">
        <f>F337*0</f>
        <v>0</v>
      </c>
      <c r="AF337" s="11">
        <f>F337*(1-0)</f>
        <v>0</v>
      </c>
      <c r="AG337" s="7" t="s">
        <v>502</v>
      </c>
      <c r="AM337" s="11">
        <f>E337*AE337</f>
        <v>0</v>
      </c>
      <c r="AN337" s="11">
        <f>E337*AF337</f>
        <v>0</v>
      </c>
      <c r="AO337" s="12" t="s">
        <v>196</v>
      </c>
      <c r="AP337" s="12" t="s">
        <v>226</v>
      </c>
      <c r="AQ337" s="6" t="s">
        <v>234</v>
      </c>
      <c r="AS337" s="11">
        <f>AM337+AN337</f>
        <v>0</v>
      </c>
      <c r="AT337" s="11">
        <f>F337/(100-AU337)*100</f>
        <v>0</v>
      </c>
      <c r="AU337" s="11">
        <v>0</v>
      </c>
      <c r="AV337" s="11">
        <f>K337</f>
        <v>0</v>
      </c>
    </row>
    <row r="338" spans="1:37" ht="12.75">
      <c r="A338" s="66"/>
      <c r="B338" s="67" t="s">
        <v>1006</v>
      </c>
      <c r="C338" s="305" t="s">
        <v>1552</v>
      </c>
      <c r="D338" s="306"/>
      <c r="E338" s="306"/>
      <c r="F338" s="306"/>
      <c r="G338" s="68">
        <f>SUM(G339:G364)</f>
        <v>0</v>
      </c>
      <c r="H338" s="68">
        <f>SUM(H339:H364)</f>
        <v>0</v>
      </c>
      <c r="I338" s="68">
        <f>G338+H338</f>
        <v>0</v>
      </c>
      <c r="J338" s="69"/>
      <c r="K338" s="68">
        <f>SUM(K339:K364)</f>
        <v>1.142629</v>
      </c>
      <c r="L338" s="69"/>
      <c r="M338" s="39"/>
      <c r="N338" s="39"/>
      <c r="Y338" s="6"/>
      <c r="AI338" s="13">
        <f>SUM(Z339:Z364)</f>
        <v>0</v>
      </c>
      <c r="AJ338" s="13">
        <f>SUM(AA339:AA364)</f>
        <v>0</v>
      </c>
      <c r="AK338" s="13">
        <f>SUM(AB339:AB364)</f>
        <v>0</v>
      </c>
    </row>
    <row r="339" spans="1:48" ht="12.75">
      <c r="A339" s="59" t="s">
        <v>633</v>
      </c>
      <c r="B339" s="59" t="s">
        <v>1007</v>
      </c>
      <c r="C339" s="59" t="s">
        <v>1553</v>
      </c>
      <c r="D339" s="59" t="s">
        <v>144</v>
      </c>
      <c r="E339" s="60">
        <v>1</v>
      </c>
      <c r="F339" s="61"/>
      <c r="G339" s="61">
        <f aca="true" t="shared" si="0" ref="G339:G362">E339*AE339</f>
        <v>0</v>
      </c>
      <c r="H339" s="61">
        <f aca="true" t="shared" si="1" ref="H339:H362">I339-G339</f>
        <v>0</v>
      </c>
      <c r="I339" s="61">
        <f aca="true" t="shared" si="2" ref="I339:I362">E339*F339</f>
        <v>0</v>
      </c>
      <c r="J339" s="61">
        <v>0.00175</v>
      </c>
      <c r="K339" s="61">
        <f aca="true" t="shared" si="3" ref="K339:K362">E339*J339</f>
        <v>0.00175</v>
      </c>
      <c r="L339" s="62" t="s">
        <v>170</v>
      </c>
      <c r="M339" s="39"/>
      <c r="N339" s="39"/>
      <c r="P339" s="11">
        <f aca="true" t="shared" si="4" ref="P339:P362">IF(AG339="5",I339,0)</f>
        <v>0</v>
      </c>
      <c r="R339" s="11">
        <f aca="true" t="shared" si="5" ref="R339:R362">IF(AG339="1",G339,0)</f>
        <v>0</v>
      </c>
      <c r="S339" s="11">
        <f aca="true" t="shared" si="6" ref="S339:S362">IF(AG339="1",H339,0)</f>
        <v>0</v>
      </c>
      <c r="T339" s="11">
        <f aca="true" t="shared" si="7" ref="T339:T362">IF(AG339="7",G339,0)</f>
        <v>0</v>
      </c>
      <c r="U339" s="11">
        <f aca="true" t="shared" si="8" ref="U339:U362">IF(AG339="7",H339,0)</f>
        <v>0</v>
      </c>
      <c r="V339" s="11">
        <f aca="true" t="shared" si="9" ref="V339:V362">IF(AG339="2",G339,0)</f>
        <v>0</v>
      </c>
      <c r="W339" s="11">
        <f aca="true" t="shared" si="10" ref="W339:W362">IF(AG339="2",H339,0)</f>
        <v>0</v>
      </c>
      <c r="X339" s="11">
        <f aca="true" t="shared" si="11" ref="X339:X362">IF(AG339="0",I339,0)</f>
        <v>0</v>
      </c>
      <c r="Y339" s="6"/>
      <c r="Z339" s="4">
        <f aca="true" t="shared" si="12" ref="Z339:Z362">IF(AD339=0,I339,0)</f>
        <v>0</v>
      </c>
      <c r="AA339" s="4">
        <f aca="true" t="shared" si="13" ref="AA339:AA362">IF(AD339=15,I339,0)</f>
        <v>0</v>
      </c>
      <c r="AB339" s="4">
        <f aca="true" t="shared" si="14" ref="AB339:AB362">IF(AD339=21,I339,0)</f>
        <v>0</v>
      </c>
      <c r="AD339" s="11">
        <v>21</v>
      </c>
      <c r="AE339" s="11">
        <f aca="true" t="shared" si="15" ref="AE339:AE361">F339*0</f>
        <v>0</v>
      </c>
      <c r="AF339" s="11">
        <f aca="true" t="shared" si="16" ref="AF339:AF361">F339*(1-0)</f>
        <v>0</v>
      </c>
      <c r="AG339" s="7" t="s">
        <v>504</v>
      </c>
      <c r="AM339" s="11">
        <f aca="true" t="shared" si="17" ref="AM339:AM362">E339*AE339</f>
        <v>0</v>
      </c>
      <c r="AN339" s="11">
        <f aca="true" t="shared" si="18" ref="AN339:AN362">E339*AF339</f>
        <v>0</v>
      </c>
      <c r="AO339" s="12" t="s">
        <v>197</v>
      </c>
      <c r="AP339" s="12" t="s">
        <v>227</v>
      </c>
      <c r="AQ339" s="6" t="s">
        <v>234</v>
      </c>
      <c r="AS339" s="11">
        <f aca="true" t="shared" si="19" ref="AS339:AS362">AM339+AN339</f>
        <v>0</v>
      </c>
      <c r="AT339" s="11">
        <f aca="true" t="shared" si="20" ref="AT339:AT362">F339/(100-AU339)*100</f>
        <v>0</v>
      </c>
      <c r="AU339" s="11">
        <v>0</v>
      </c>
      <c r="AV339" s="11">
        <f aca="true" t="shared" si="21" ref="AV339:AV362">K339</f>
        <v>0.00175</v>
      </c>
    </row>
    <row r="340" spans="1:48" ht="12.75">
      <c r="A340" s="59" t="s">
        <v>634</v>
      </c>
      <c r="B340" s="59" t="s">
        <v>1008</v>
      </c>
      <c r="C340" s="59" t="s">
        <v>1554</v>
      </c>
      <c r="D340" s="59" t="s">
        <v>146</v>
      </c>
      <c r="E340" s="60">
        <v>10</v>
      </c>
      <c r="F340" s="61"/>
      <c r="G340" s="61">
        <f t="shared" si="0"/>
        <v>0</v>
      </c>
      <c r="H340" s="61">
        <f t="shared" si="1"/>
        <v>0</v>
      </c>
      <c r="I340" s="61">
        <f t="shared" si="2"/>
        <v>0</v>
      </c>
      <c r="J340" s="61">
        <v>0.0021</v>
      </c>
      <c r="K340" s="61">
        <f t="shared" si="3"/>
        <v>0.020999999999999998</v>
      </c>
      <c r="L340" s="62" t="s">
        <v>170</v>
      </c>
      <c r="M340" s="39"/>
      <c r="N340" s="39"/>
      <c r="P340" s="11">
        <f t="shared" si="4"/>
        <v>0</v>
      </c>
      <c r="R340" s="11">
        <f t="shared" si="5"/>
        <v>0</v>
      </c>
      <c r="S340" s="11">
        <f t="shared" si="6"/>
        <v>0</v>
      </c>
      <c r="T340" s="11">
        <f t="shared" si="7"/>
        <v>0</v>
      </c>
      <c r="U340" s="11">
        <f t="shared" si="8"/>
        <v>0</v>
      </c>
      <c r="V340" s="11">
        <f t="shared" si="9"/>
        <v>0</v>
      </c>
      <c r="W340" s="11">
        <f t="shared" si="10"/>
        <v>0</v>
      </c>
      <c r="X340" s="11">
        <f t="shared" si="11"/>
        <v>0</v>
      </c>
      <c r="Y340" s="6"/>
      <c r="Z340" s="4">
        <f t="shared" si="12"/>
        <v>0</v>
      </c>
      <c r="AA340" s="4">
        <f t="shared" si="13"/>
        <v>0</v>
      </c>
      <c r="AB340" s="4">
        <f t="shared" si="14"/>
        <v>0</v>
      </c>
      <c r="AD340" s="11">
        <v>21</v>
      </c>
      <c r="AE340" s="11">
        <f t="shared" si="15"/>
        <v>0</v>
      </c>
      <c r="AF340" s="11">
        <f t="shared" si="16"/>
        <v>0</v>
      </c>
      <c r="AG340" s="7" t="s">
        <v>504</v>
      </c>
      <c r="AM340" s="11">
        <f t="shared" si="17"/>
        <v>0</v>
      </c>
      <c r="AN340" s="11">
        <f t="shared" si="18"/>
        <v>0</v>
      </c>
      <c r="AO340" s="12" t="s">
        <v>197</v>
      </c>
      <c r="AP340" s="12" t="s">
        <v>227</v>
      </c>
      <c r="AQ340" s="6" t="s">
        <v>234</v>
      </c>
      <c r="AS340" s="11">
        <f t="shared" si="19"/>
        <v>0</v>
      </c>
      <c r="AT340" s="11">
        <f t="shared" si="20"/>
        <v>0</v>
      </c>
      <c r="AU340" s="11">
        <v>0</v>
      </c>
      <c r="AV340" s="11">
        <f t="shared" si="21"/>
        <v>0.020999999999999998</v>
      </c>
    </row>
    <row r="341" spans="1:48" ht="12.75">
      <c r="A341" s="59" t="s">
        <v>635</v>
      </c>
      <c r="B341" s="59" t="s">
        <v>1009</v>
      </c>
      <c r="C341" s="59" t="s">
        <v>1555</v>
      </c>
      <c r="D341" s="59" t="s">
        <v>146</v>
      </c>
      <c r="E341" s="60">
        <v>20</v>
      </c>
      <c r="F341" s="61"/>
      <c r="G341" s="61">
        <f t="shared" si="0"/>
        <v>0</v>
      </c>
      <c r="H341" s="61">
        <f t="shared" si="1"/>
        <v>0</v>
      </c>
      <c r="I341" s="61">
        <f t="shared" si="2"/>
        <v>0</v>
      </c>
      <c r="J341" s="61">
        <v>0.00252</v>
      </c>
      <c r="K341" s="61">
        <f t="shared" si="3"/>
        <v>0.0504</v>
      </c>
      <c r="L341" s="62" t="s">
        <v>170</v>
      </c>
      <c r="M341" s="39"/>
      <c r="N341" s="39"/>
      <c r="P341" s="11">
        <f t="shared" si="4"/>
        <v>0</v>
      </c>
      <c r="R341" s="11">
        <f t="shared" si="5"/>
        <v>0</v>
      </c>
      <c r="S341" s="11">
        <f t="shared" si="6"/>
        <v>0</v>
      </c>
      <c r="T341" s="11">
        <f t="shared" si="7"/>
        <v>0</v>
      </c>
      <c r="U341" s="11">
        <f t="shared" si="8"/>
        <v>0</v>
      </c>
      <c r="V341" s="11">
        <f t="shared" si="9"/>
        <v>0</v>
      </c>
      <c r="W341" s="11">
        <f t="shared" si="10"/>
        <v>0</v>
      </c>
      <c r="X341" s="11">
        <f t="shared" si="11"/>
        <v>0</v>
      </c>
      <c r="Y341" s="6"/>
      <c r="Z341" s="4">
        <f t="shared" si="12"/>
        <v>0</v>
      </c>
      <c r="AA341" s="4">
        <f t="shared" si="13"/>
        <v>0</v>
      </c>
      <c r="AB341" s="4">
        <f t="shared" si="14"/>
        <v>0</v>
      </c>
      <c r="AD341" s="11">
        <v>21</v>
      </c>
      <c r="AE341" s="11">
        <f t="shared" si="15"/>
        <v>0</v>
      </c>
      <c r="AF341" s="11">
        <f t="shared" si="16"/>
        <v>0</v>
      </c>
      <c r="AG341" s="7" t="s">
        <v>504</v>
      </c>
      <c r="AM341" s="11">
        <f t="shared" si="17"/>
        <v>0</v>
      </c>
      <c r="AN341" s="11">
        <f t="shared" si="18"/>
        <v>0</v>
      </c>
      <c r="AO341" s="12" t="s">
        <v>197</v>
      </c>
      <c r="AP341" s="12" t="s">
        <v>227</v>
      </c>
      <c r="AQ341" s="6" t="s">
        <v>234</v>
      </c>
      <c r="AS341" s="11">
        <f t="shared" si="19"/>
        <v>0</v>
      </c>
      <c r="AT341" s="11">
        <f t="shared" si="20"/>
        <v>0</v>
      </c>
      <c r="AU341" s="11">
        <v>0</v>
      </c>
      <c r="AV341" s="11">
        <f t="shared" si="21"/>
        <v>0.0504</v>
      </c>
    </row>
    <row r="342" spans="1:48" ht="12.75">
      <c r="A342" s="59" t="s">
        <v>636</v>
      </c>
      <c r="B342" s="59" t="s">
        <v>1010</v>
      </c>
      <c r="C342" s="59" t="s">
        <v>1556</v>
      </c>
      <c r="D342" s="59" t="s">
        <v>146</v>
      </c>
      <c r="E342" s="60">
        <v>5.9</v>
      </c>
      <c r="F342" s="61"/>
      <c r="G342" s="61">
        <f t="shared" si="0"/>
        <v>0</v>
      </c>
      <c r="H342" s="61">
        <f t="shared" si="1"/>
        <v>0</v>
      </c>
      <c r="I342" s="61">
        <f t="shared" si="2"/>
        <v>0</v>
      </c>
      <c r="J342" s="61">
        <v>0.00357</v>
      </c>
      <c r="K342" s="61">
        <f t="shared" si="3"/>
        <v>0.021063000000000002</v>
      </c>
      <c r="L342" s="62" t="s">
        <v>170</v>
      </c>
      <c r="M342" s="39"/>
      <c r="N342" s="39"/>
      <c r="P342" s="11">
        <f t="shared" si="4"/>
        <v>0</v>
      </c>
      <c r="R342" s="11">
        <f t="shared" si="5"/>
        <v>0</v>
      </c>
      <c r="S342" s="11">
        <f t="shared" si="6"/>
        <v>0</v>
      </c>
      <c r="T342" s="11">
        <f t="shared" si="7"/>
        <v>0</v>
      </c>
      <c r="U342" s="11">
        <f t="shared" si="8"/>
        <v>0</v>
      </c>
      <c r="V342" s="11">
        <f t="shared" si="9"/>
        <v>0</v>
      </c>
      <c r="W342" s="11">
        <f t="shared" si="10"/>
        <v>0</v>
      </c>
      <c r="X342" s="11">
        <f t="shared" si="11"/>
        <v>0</v>
      </c>
      <c r="Y342" s="6"/>
      <c r="Z342" s="4">
        <f t="shared" si="12"/>
        <v>0</v>
      </c>
      <c r="AA342" s="4">
        <f t="shared" si="13"/>
        <v>0</v>
      </c>
      <c r="AB342" s="4">
        <f t="shared" si="14"/>
        <v>0</v>
      </c>
      <c r="AD342" s="11">
        <v>21</v>
      </c>
      <c r="AE342" s="11">
        <f t="shared" si="15"/>
        <v>0</v>
      </c>
      <c r="AF342" s="11">
        <f t="shared" si="16"/>
        <v>0</v>
      </c>
      <c r="AG342" s="7" t="s">
        <v>504</v>
      </c>
      <c r="AM342" s="11">
        <f t="shared" si="17"/>
        <v>0</v>
      </c>
      <c r="AN342" s="11">
        <f t="shared" si="18"/>
        <v>0</v>
      </c>
      <c r="AO342" s="12" t="s">
        <v>197</v>
      </c>
      <c r="AP342" s="12" t="s">
        <v>227</v>
      </c>
      <c r="AQ342" s="6" t="s">
        <v>234</v>
      </c>
      <c r="AS342" s="11">
        <f t="shared" si="19"/>
        <v>0</v>
      </c>
      <c r="AT342" s="11">
        <f t="shared" si="20"/>
        <v>0</v>
      </c>
      <c r="AU342" s="11">
        <v>0</v>
      </c>
      <c r="AV342" s="11">
        <f t="shared" si="21"/>
        <v>0.021063000000000002</v>
      </c>
    </row>
    <row r="343" spans="1:48" ht="12.75">
      <c r="A343" s="59" t="s">
        <v>637</v>
      </c>
      <c r="B343" s="59" t="s">
        <v>1011</v>
      </c>
      <c r="C343" s="59" t="s">
        <v>1557</v>
      </c>
      <c r="D343" s="59" t="s">
        <v>146</v>
      </c>
      <c r="E343" s="60">
        <v>10.2</v>
      </c>
      <c r="F343" s="61"/>
      <c r="G343" s="61">
        <f t="shared" si="0"/>
        <v>0</v>
      </c>
      <c r="H343" s="61">
        <f t="shared" si="1"/>
        <v>0</v>
      </c>
      <c r="I343" s="61">
        <f t="shared" si="2"/>
        <v>0</v>
      </c>
      <c r="J343" s="61">
        <v>0.00403</v>
      </c>
      <c r="K343" s="61">
        <f t="shared" si="3"/>
        <v>0.041106</v>
      </c>
      <c r="L343" s="62" t="s">
        <v>170</v>
      </c>
      <c r="M343" s="39"/>
      <c r="N343" s="39"/>
      <c r="P343" s="11">
        <f t="shared" si="4"/>
        <v>0</v>
      </c>
      <c r="R343" s="11">
        <f t="shared" si="5"/>
        <v>0</v>
      </c>
      <c r="S343" s="11">
        <f t="shared" si="6"/>
        <v>0</v>
      </c>
      <c r="T343" s="11">
        <f t="shared" si="7"/>
        <v>0</v>
      </c>
      <c r="U343" s="11">
        <f t="shared" si="8"/>
        <v>0</v>
      </c>
      <c r="V343" s="11">
        <f t="shared" si="9"/>
        <v>0</v>
      </c>
      <c r="W343" s="11">
        <f t="shared" si="10"/>
        <v>0</v>
      </c>
      <c r="X343" s="11">
        <f t="shared" si="11"/>
        <v>0</v>
      </c>
      <c r="Y343" s="6"/>
      <c r="Z343" s="4">
        <f t="shared" si="12"/>
        <v>0</v>
      </c>
      <c r="AA343" s="4">
        <f t="shared" si="13"/>
        <v>0</v>
      </c>
      <c r="AB343" s="4">
        <f t="shared" si="14"/>
        <v>0</v>
      </c>
      <c r="AD343" s="11">
        <v>21</v>
      </c>
      <c r="AE343" s="11">
        <f t="shared" si="15"/>
        <v>0</v>
      </c>
      <c r="AF343" s="11">
        <f t="shared" si="16"/>
        <v>0</v>
      </c>
      <c r="AG343" s="7" t="s">
        <v>504</v>
      </c>
      <c r="AM343" s="11">
        <f t="shared" si="17"/>
        <v>0</v>
      </c>
      <c r="AN343" s="11">
        <f t="shared" si="18"/>
        <v>0</v>
      </c>
      <c r="AO343" s="12" t="s">
        <v>197</v>
      </c>
      <c r="AP343" s="12" t="s">
        <v>227</v>
      </c>
      <c r="AQ343" s="6" t="s">
        <v>234</v>
      </c>
      <c r="AS343" s="11">
        <f t="shared" si="19"/>
        <v>0</v>
      </c>
      <c r="AT343" s="11">
        <f t="shared" si="20"/>
        <v>0</v>
      </c>
      <c r="AU343" s="11">
        <v>0</v>
      </c>
      <c r="AV343" s="11">
        <f t="shared" si="21"/>
        <v>0.041106</v>
      </c>
    </row>
    <row r="344" spans="1:48" ht="12.75">
      <c r="A344" s="59" t="s">
        <v>638</v>
      </c>
      <c r="B344" s="59" t="s">
        <v>1012</v>
      </c>
      <c r="C344" s="59" t="s">
        <v>1558</v>
      </c>
      <c r="D344" s="59" t="s">
        <v>144</v>
      </c>
      <c r="E344" s="60">
        <v>4</v>
      </c>
      <c r="F344" s="61"/>
      <c r="G344" s="61">
        <f t="shared" si="0"/>
        <v>0</v>
      </c>
      <c r="H344" s="61">
        <f t="shared" si="1"/>
        <v>0</v>
      </c>
      <c r="I344" s="61">
        <f t="shared" si="2"/>
        <v>0</v>
      </c>
      <c r="J344" s="61">
        <v>0.00072</v>
      </c>
      <c r="K344" s="61">
        <f t="shared" si="3"/>
        <v>0.00288</v>
      </c>
      <c r="L344" s="62" t="s">
        <v>170</v>
      </c>
      <c r="M344" s="39"/>
      <c r="N344" s="39"/>
      <c r="P344" s="11">
        <f t="shared" si="4"/>
        <v>0</v>
      </c>
      <c r="R344" s="11">
        <f t="shared" si="5"/>
        <v>0</v>
      </c>
      <c r="S344" s="11">
        <f t="shared" si="6"/>
        <v>0</v>
      </c>
      <c r="T344" s="11">
        <f t="shared" si="7"/>
        <v>0</v>
      </c>
      <c r="U344" s="11">
        <f t="shared" si="8"/>
        <v>0</v>
      </c>
      <c r="V344" s="11">
        <f t="shared" si="9"/>
        <v>0</v>
      </c>
      <c r="W344" s="11">
        <f t="shared" si="10"/>
        <v>0</v>
      </c>
      <c r="X344" s="11">
        <f t="shared" si="11"/>
        <v>0</v>
      </c>
      <c r="Y344" s="6"/>
      <c r="Z344" s="4">
        <f t="shared" si="12"/>
        <v>0</v>
      </c>
      <c r="AA344" s="4">
        <f t="shared" si="13"/>
        <v>0</v>
      </c>
      <c r="AB344" s="4">
        <f t="shared" si="14"/>
        <v>0</v>
      </c>
      <c r="AD344" s="11">
        <v>21</v>
      </c>
      <c r="AE344" s="11">
        <f t="shared" si="15"/>
        <v>0</v>
      </c>
      <c r="AF344" s="11">
        <f t="shared" si="16"/>
        <v>0</v>
      </c>
      <c r="AG344" s="7" t="s">
        <v>504</v>
      </c>
      <c r="AM344" s="11">
        <f t="shared" si="17"/>
        <v>0</v>
      </c>
      <c r="AN344" s="11">
        <f t="shared" si="18"/>
        <v>0</v>
      </c>
      <c r="AO344" s="12" t="s">
        <v>197</v>
      </c>
      <c r="AP344" s="12" t="s">
        <v>227</v>
      </c>
      <c r="AQ344" s="6" t="s">
        <v>234</v>
      </c>
      <c r="AS344" s="11">
        <f t="shared" si="19"/>
        <v>0</v>
      </c>
      <c r="AT344" s="11">
        <f t="shared" si="20"/>
        <v>0</v>
      </c>
      <c r="AU344" s="11">
        <v>0</v>
      </c>
      <c r="AV344" s="11">
        <f t="shared" si="21"/>
        <v>0.00288</v>
      </c>
    </row>
    <row r="345" spans="1:48" ht="12.75">
      <c r="A345" s="59" t="s">
        <v>639</v>
      </c>
      <c r="B345" s="59" t="s">
        <v>1013</v>
      </c>
      <c r="C345" s="59" t="s">
        <v>1559</v>
      </c>
      <c r="D345" s="59" t="s">
        <v>146</v>
      </c>
      <c r="E345" s="60">
        <v>3.5</v>
      </c>
      <c r="F345" s="61"/>
      <c r="G345" s="61">
        <f t="shared" si="0"/>
        <v>0</v>
      </c>
      <c r="H345" s="61">
        <f t="shared" si="1"/>
        <v>0</v>
      </c>
      <c r="I345" s="61">
        <f t="shared" si="2"/>
        <v>0</v>
      </c>
      <c r="J345" s="61">
        <v>0.00038</v>
      </c>
      <c r="K345" s="61">
        <f t="shared" si="3"/>
        <v>0.00133</v>
      </c>
      <c r="L345" s="62" t="s">
        <v>170</v>
      </c>
      <c r="M345" s="39"/>
      <c r="N345" s="39"/>
      <c r="P345" s="11">
        <f t="shared" si="4"/>
        <v>0</v>
      </c>
      <c r="R345" s="11">
        <f t="shared" si="5"/>
        <v>0</v>
      </c>
      <c r="S345" s="11">
        <f t="shared" si="6"/>
        <v>0</v>
      </c>
      <c r="T345" s="11">
        <f t="shared" si="7"/>
        <v>0</v>
      </c>
      <c r="U345" s="11">
        <f t="shared" si="8"/>
        <v>0</v>
      </c>
      <c r="V345" s="11">
        <f t="shared" si="9"/>
        <v>0</v>
      </c>
      <c r="W345" s="11">
        <f t="shared" si="10"/>
        <v>0</v>
      </c>
      <c r="X345" s="11">
        <f t="shared" si="11"/>
        <v>0</v>
      </c>
      <c r="Y345" s="6"/>
      <c r="Z345" s="4">
        <f t="shared" si="12"/>
        <v>0</v>
      </c>
      <c r="AA345" s="4">
        <f t="shared" si="13"/>
        <v>0</v>
      </c>
      <c r="AB345" s="4">
        <f t="shared" si="14"/>
        <v>0</v>
      </c>
      <c r="AD345" s="11">
        <v>21</v>
      </c>
      <c r="AE345" s="11">
        <f t="shared" si="15"/>
        <v>0</v>
      </c>
      <c r="AF345" s="11">
        <f t="shared" si="16"/>
        <v>0</v>
      </c>
      <c r="AG345" s="7" t="s">
        <v>504</v>
      </c>
      <c r="AM345" s="11">
        <f t="shared" si="17"/>
        <v>0</v>
      </c>
      <c r="AN345" s="11">
        <f t="shared" si="18"/>
        <v>0</v>
      </c>
      <c r="AO345" s="12" t="s">
        <v>197</v>
      </c>
      <c r="AP345" s="12" t="s">
        <v>227</v>
      </c>
      <c r="AQ345" s="6" t="s">
        <v>234</v>
      </c>
      <c r="AS345" s="11">
        <f t="shared" si="19"/>
        <v>0</v>
      </c>
      <c r="AT345" s="11">
        <f t="shared" si="20"/>
        <v>0</v>
      </c>
      <c r="AU345" s="11">
        <v>0</v>
      </c>
      <c r="AV345" s="11">
        <f t="shared" si="21"/>
        <v>0.00133</v>
      </c>
    </row>
    <row r="346" spans="1:48" ht="12.75">
      <c r="A346" s="59" t="s">
        <v>640</v>
      </c>
      <c r="B346" s="59" t="s">
        <v>1014</v>
      </c>
      <c r="C346" s="59" t="s">
        <v>1560</v>
      </c>
      <c r="D346" s="59" t="s">
        <v>146</v>
      </c>
      <c r="E346" s="60">
        <v>1</v>
      </c>
      <c r="F346" s="61"/>
      <c r="G346" s="61">
        <f t="shared" si="0"/>
        <v>0</v>
      </c>
      <c r="H346" s="61">
        <f t="shared" si="1"/>
        <v>0</v>
      </c>
      <c r="I346" s="61">
        <f t="shared" si="2"/>
        <v>0</v>
      </c>
      <c r="J346" s="61">
        <v>0.00047</v>
      </c>
      <c r="K346" s="61">
        <f t="shared" si="3"/>
        <v>0.00047</v>
      </c>
      <c r="L346" s="62" t="s">
        <v>170</v>
      </c>
      <c r="M346" s="39"/>
      <c r="N346" s="39"/>
      <c r="P346" s="11">
        <f t="shared" si="4"/>
        <v>0</v>
      </c>
      <c r="R346" s="11">
        <f t="shared" si="5"/>
        <v>0</v>
      </c>
      <c r="S346" s="11">
        <f t="shared" si="6"/>
        <v>0</v>
      </c>
      <c r="T346" s="11">
        <f t="shared" si="7"/>
        <v>0</v>
      </c>
      <c r="U346" s="11">
        <f t="shared" si="8"/>
        <v>0</v>
      </c>
      <c r="V346" s="11">
        <f t="shared" si="9"/>
        <v>0</v>
      </c>
      <c r="W346" s="11">
        <f t="shared" si="10"/>
        <v>0</v>
      </c>
      <c r="X346" s="11">
        <f t="shared" si="11"/>
        <v>0</v>
      </c>
      <c r="Y346" s="6"/>
      <c r="Z346" s="4">
        <f t="shared" si="12"/>
        <v>0</v>
      </c>
      <c r="AA346" s="4">
        <f t="shared" si="13"/>
        <v>0</v>
      </c>
      <c r="AB346" s="4">
        <f t="shared" si="14"/>
        <v>0</v>
      </c>
      <c r="AD346" s="11">
        <v>21</v>
      </c>
      <c r="AE346" s="11">
        <f t="shared" si="15"/>
        <v>0</v>
      </c>
      <c r="AF346" s="11">
        <f t="shared" si="16"/>
        <v>0</v>
      </c>
      <c r="AG346" s="7" t="s">
        <v>504</v>
      </c>
      <c r="AM346" s="11">
        <f t="shared" si="17"/>
        <v>0</v>
      </c>
      <c r="AN346" s="11">
        <f t="shared" si="18"/>
        <v>0</v>
      </c>
      <c r="AO346" s="12" t="s">
        <v>197</v>
      </c>
      <c r="AP346" s="12" t="s">
        <v>227</v>
      </c>
      <c r="AQ346" s="6" t="s">
        <v>234</v>
      </c>
      <c r="AS346" s="11">
        <f t="shared" si="19"/>
        <v>0</v>
      </c>
      <c r="AT346" s="11">
        <f t="shared" si="20"/>
        <v>0</v>
      </c>
      <c r="AU346" s="11">
        <v>0</v>
      </c>
      <c r="AV346" s="11">
        <f t="shared" si="21"/>
        <v>0.00047</v>
      </c>
    </row>
    <row r="347" spans="1:48" ht="12.75">
      <c r="A347" s="59" t="s">
        <v>641</v>
      </c>
      <c r="B347" s="59" t="s">
        <v>1015</v>
      </c>
      <c r="C347" s="59" t="s">
        <v>1561</v>
      </c>
      <c r="D347" s="59" t="s">
        <v>146</v>
      </c>
      <c r="E347" s="60">
        <v>6.2</v>
      </c>
      <c r="F347" s="61"/>
      <c r="G347" s="61">
        <f t="shared" si="0"/>
        <v>0</v>
      </c>
      <c r="H347" s="61">
        <f t="shared" si="1"/>
        <v>0</v>
      </c>
      <c r="I347" s="61">
        <f t="shared" si="2"/>
        <v>0</v>
      </c>
      <c r="J347" s="61">
        <v>0.0007</v>
      </c>
      <c r="K347" s="61">
        <f t="shared" si="3"/>
        <v>0.00434</v>
      </c>
      <c r="L347" s="62" t="s">
        <v>170</v>
      </c>
      <c r="M347" s="39"/>
      <c r="N347" s="39"/>
      <c r="P347" s="11">
        <f t="shared" si="4"/>
        <v>0</v>
      </c>
      <c r="R347" s="11">
        <f t="shared" si="5"/>
        <v>0</v>
      </c>
      <c r="S347" s="11">
        <f t="shared" si="6"/>
        <v>0</v>
      </c>
      <c r="T347" s="11">
        <f t="shared" si="7"/>
        <v>0</v>
      </c>
      <c r="U347" s="11">
        <f t="shared" si="8"/>
        <v>0</v>
      </c>
      <c r="V347" s="11">
        <f t="shared" si="9"/>
        <v>0</v>
      </c>
      <c r="W347" s="11">
        <f t="shared" si="10"/>
        <v>0</v>
      </c>
      <c r="X347" s="11">
        <f t="shared" si="11"/>
        <v>0</v>
      </c>
      <c r="Y347" s="6"/>
      <c r="Z347" s="4">
        <f t="shared" si="12"/>
        <v>0</v>
      </c>
      <c r="AA347" s="4">
        <f t="shared" si="13"/>
        <v>0</v>
      </c>
      <c r="AB347" s="4">
        <f t="shared" si="14"/>
        <v>0</v>
      </c>
      <c r="AD347" s="11">
        <v>21</v>
      </c>
      <c r="AE347" s="11">
        <f t="shared" si="15"/>
        <v>0</v>
      </c>
      <c r="AF347" s="11">
        <f t="shared" si="16"/>
        <v>0</v>
      </c>
      <c r="AG347" s="7" t="s">
        <v>504</v>
      </c>
      <c r="AM347" s="11">
        <f t="shared" si="17"/>
        <v>0</v>
      </c>
      <c r="AN347" s="11">
        <f t="shared" si="18"/>
        <v>0</v>
      </c>
      <c r="AO347" s="12" t="s">
        <v>197</v>
      </c>
      <c r="AP347" s="12" t="s">
        <v>227</v>
      </c>
      <c r="AQ347" s="6" t="s">
        <v>234</v>
      </c>
      <c r="AS347" s="11">
        <f t="shared" si="19"/>
        <v>0</v>
      </c>
      <c r="AT347" s="11">
        <f t="shared" si="20"/>
        <v>0</v>
      </c>
      <c r="AU347" s="11">
        <v>0</v>
      </c>
      <c r="AV347" s="11">
        <f t="shared" si="21"/>
        <v>0.00434</v>
      </c>
    </row>
    <row r="348" spans="1:48" ht="12.75">
      <c r="A348" s="59" t="s">
        <v>642</v>
      </c>
      <c r="B348" s="59" t="s">
        <v>1016</v>
      </c>
      <c r="C348" s="59" t="s">
        <v>1562</v>
      </c>
      <c r="D348" s="59" t="s">
        <v>146</v>
      </c>
      <c r="E348" s="60">
        <v>4.7</v>
      </c>
      <c r="F348" s="61"/>
      <c r="G348" s="61">
        <f t="shared" si="0"/>
        <v>0</v>
      </c>
      <c r="H348" s="61">
        <f t="shared" si="1"/>
        <v>0</v>
      </c>
      <c r="I348" s="61">
        <f t="shared" si="2"/>
        <v>0</v>
      </c>
      <c r="J348" s="61">
        <v>0.00152</v>
      </c>
      <c r="K348" s="61">
        <f t="shared" si="3"/>
        <v>0.007144000000000001</v>
      </c>
      <c r="L348" s="62" t="s">
        <v>170</v>
      </c>
      <c r="M348" s="39"/>
      <c r="N348" s="39"/>
      <c r="P348" s="11">
        <f t="shared" si="4"/>
        <v>0</v>
      </c>
      <c r="R348" s="11">
        <f t="shared" si="5"/>
        <v>0</v>
      </c>
      <c r="S348" s="11">
        <f t="shared" si="6"/>
        <v>0</v>
      </c>
      <c r="T348" s="11">
        <f t="shared" si="7"/>
        <v>0</v>
      </c>
      <c r="U348" s="11">
        <f t="shared" si="8"/>
        <v>0</v>
      </c>
      <c r="V348" s="11">
        <f t="shared" si="9"/>
        <v>0</v>
      </c>
      <c r="W348" s="11">
        <f t="shared" si="10"/>
        <v>0</v>
      </c>
      <c r="X348" s="11">
        <f t="shared" si="11"/>
        <v>0</v>
      </c>
      <c r="Y348" s="6"/>
      <c r="Z348" s="4">
        <f t="shared" si="12"/>
        <v>0</v>
      </c>
      <c r="AA348" s="4">
        <f t="shared" si="13"/>
        <v>0</v>
      </c>
      <c r="AB348" s="4">
        <f t="shared" si="14"/>
        <v>0</v>
      </c>
      <c r="AD348" s="11">
        <v>21</v>
      </c>
      <c r="AE348" s="11">
        <f t="shared" si="15"/>
        <v>0</v>
      </c>
      <c r="AF348" s="11">
        <f t="shared" si="16"/>
        <v>0</v>
      </c>
      <c r="AG348" s="7" t="s">
        <v>504</v>
      </c>
      <c r="AM348" s="11">
        <f t="shared" si="17"/>
        <v>0</v>
      </c>
      <c r="AN348" s="11">
        <f t="shared" si="18"/>
        <v>0</v>
      </c>
      <c r="AO348" s="12" t="s">
        <v>197</v>
      </c>
      <c r="AP348" s="12" t="s">
        <v>227</v>
      </c>
      <c r="AQ348" s="6" t="s">
        <v>234</v>
      </c>
      <c r="AS348" s="11">
        <f t="shared" si="19"/>
        <v>0</v>
      </c>
      <c r="AT348" s="11">
        <f t="shared" si="20"/>
        <v>0</v>
      </c>
      <c r="AU348" s="11">
        <v>0</v>
      </c>
      <c r="AV348" s="11">
        <f t="shared" si="21"/>
        <v>0.007144000000000001</v>
      </c>
    </row>
    <row r="349" spans="1:48" ht="12.75">
      <c r="A349" s="59" t="s">
        <v>643</v>
      </c>
      <c r="B349" s="59" t="s">
        <v>1017</v>
      </c>
      <c r="C349" s="59" t="s">
        <v>1563</v>
      </c>
      <c r="D349" s="59" t="s">
        <v>146</v>
      </c>
      <c r="E349" s="60">
        <v>0.5</v>
      </c>
      <c r="F349" s="61"/>
      <c r="G349" s="61">
        <f t="shared" si="0"/>
        <v>0</v>
      </c>
      <c r="H349" s="61">
        <f t="shared" si="1"/>
        <v>0</v>
      </c>
      <c r="I349" s="61">
        <f t="shared" si="2"/>
        <v>0</v>
      </c>
      <c r="J349" s="61">
        <v>0.00052</v>
      </c>
      <c r="K349" s="61">
        <f t="shared" si="3"/>
        <v>0.00026</v>
      </c>
      <c r="L349" s="62" t="s">
        <v>170</v>
      </c>
      <c r="M349" s="39"/>
      <c r="N349" s="39"/>
      <c r="P349" s="11">
        <f t="shared" si="4"/>
        <v>0</v>
      </c>
      <c r="R349" s="11">
        <f t="shared" si="5"/>
        <v>0</v>
      </c>
      <c r="S349" s="11">
        <f t="shared" si="6"/>
        <v>0</v>
      </c>
      <c r="T349" s="11">
        <f t="shared" si="7"/>
        <v>0</v>
      </c>
      <c r="U349" s="11">
        <f t="shared" si="8"/>
        <v>0</v>
      </c>
      <c r="V349" s="11">
        <f t="shared" si="9"/>
        <v>0</v>
      </c>
      <c r="W349" s="11">
        <f t="shared" si="10"/>
        <v>0</v>
      </c>
      <c r="X349" s="11">
        <f t="shared" si="11"/>
        <v>0</v>
      </c>
      <c r="Y349" s="6"/>
      <c r="Z349" s="4">
        <f t="shared" si="12"/>
        <v>0</v>
      </c>
      <c r="AA349" s="4">
        <f t="shared" si="13"/>
        <v>0</v>
      </c>
      <c r="AB349" s="4">
        <f t="shared" si="14"/>
        <v>0</v>
      </c>
      <c r="AD349" s="11">
        <v>21</v>
      </c>
      <c r="AE349" s="11">
        <f t="shared" si="15"/>
        <v>0</v>
      </c>
      <c r="AF349" s="11">
        <f t="shared" si="16"/>
        <v>0</v>
      </c>
      <c r="AG349" s="7" t="s">
        <v>504</v>
      </c>
      <c r="AM349" s="11">
        <f t="shared" si="17"/>
        <v>0</v>
      </c>
      <c r="AN349" s="11">
        <f t="shared" si="18"/>
        <v>0</v>
      </c>
      <c r="AO349" s="12" t="s">
        <v>197</v>
      </c>
      <c r="AP349" s="12" t="s">
        <v>227</v>
      </c>
      <c r="AQ349" s="6" t="s">
        <v>234</v>
      </c>
      <c r="AS349" s="11">
        <f t="shared" si="19"/>
        <v>0</v>
      </c>
      <c r="AT349" s="11">
        <f t="shared" si="20"/>
        <v>0</v>
      </c>
      <c r="AU349" s="11">
        <v>0</v>
      </c>
      <c r="AV349" s="11">
        <f t="shared" si="21"/>
        <v>0.00026</v>
      </c>
    </row>
    <row r="350" spans="1:48" ht="12.75">
      <c r="A350" s="59" t="s">
        <v>644</v>
      </c>
      <c r="B350" s="59" t="s">
        <v>1018</v>
      </c>
      <c r="C350" s="59" t="s">
        <v>1564</v>
      </c>
      <c r="D350" s="59" t="s">
        <v>146</v>
      </c>
      <c r="E350" s="60">
        <v>3.7</v>
      </c>
      <c r="F350" s="61"/>
      <c r="G350" s="61">
        <f t="shared" si="0"/>
        <v>0</v>
      </c>
      <c r="H350" s="61">
        <f t="shared" si="1"/>
        <v>0</v>
      </c>
      <c r="I350" s="61">
        <f t="shared" si="2"/>
        <v>0</v>
      </c>
      <c r="J350" s="61">
        <v>0.00078</v>
      </c>
      <c r="K350" s="61">
        <f t="shared" si="3"/>
        <v>0.002886</v>
      </c>
      <c r="L350" s="62" t="s">
        <v>170</v>
      </c>
      <c r="M350" s="39"/>
      <c r="N350" s="39"/>
      <c r="P350" s="11">
        <f t="shared" si="4"/>
        <v>0</v>
      </c>
      <c r="R350" s="11">
        <f t="shared" si="5"/>
        <v>0</v>
      </c>
      <c r="S350" s="11">
        <f t="shared" si="6"/>
        <v>0</v>
      </c>
      <c r="T350" s="11">
        <f t="shared" si="7"/>
        <v>0</v>
      </c>
      <c r="U350" s="11">
        <f t="shared" si="8"/>
        <v>0</v>
      </c>
      <c r="V350" s="11">
        <f t="shared" si="9"/>
        <v>0</v>
      </c>
      <c r="W350" s="11">
        <f t="shared" si="10"/>
        <v>0</v>
      </c>
      <c r="X350" s="11">
        <f t="shared" si="11"/>
        <v>0</v>
      </c>
      <c r="Y350" s="6"/>
      <c r="Z350" s="4">
        <f t="shared" si="12"/>
        <v>0</v>
      </c>
      <c r="AA350" s="4">
        <f t="shared" si="13"/>
        <v>0</v>
      </c>
      <c r="AB350" s="4">
        <f t="shared" si="14"/>
        <v>0</v>
      </c>
      <c r="AD350" s="11">
        <v>21</v>
      </c>
      <c r="AE350" s="11">
        <f t="shared" si="15"/>
        <v>0</v>
      </c>
      <c r="AF350" s="11">
        <f t="shared" si="16"/>
        <v>0</v>
      </c>
      <c r="AG350" s="7" t="s">
        <v>504</v>
      </c>
      <c r="AM350" s="11">
        <f t="shared" si="17"/>
        <v>0</v>
      </c>
      <c r="AN350" s="11">
        <f t="shared" si="18"/>
        <v>0</v>
      </c>
      <c r="AO350" s="12" t="s">
        <v>197</v>
      </c>
      <c r="AP350" s="12" t="s">
        <v>227</v>
      </c>
      <c r="AQ350" s="6" t="s">
        <v>234</v>
      </c>
      <c r="AS350" s="11">
        <f t="shared" si="19"/>
        <v>0</v>
      </c>
      <c r="AT350" s="11">
        <f t="shared" si="20"/>
        <v>0</v>
      </c>
      <c r="AU350" s="11">
        <v>0</v>
      </c>
      <c r="AV350" s="11">
        <f t="shared" si="21"/>
        <v>0.002886</v>
      </c>
    </row>
    <row r="351" spans="1:48" ht="12.75">
      <c r="A351" s="59" t="s">
        <v>645</v>
      </c>
      <c r="B351" s="59" t="s">
        <v>1019</v>
      </c>
      <c r="C351" s="59" t="s">
        <v>1565</v>
      </c>
      <c r="D351" s="59" t="s">
        <v>146</v>
      </c>
      <c r="E351" s="60">
        <v>17</v>
      </c>
      <c r="F351" s="61"/>
      <c r="G351" s="61">
        <f t="shared" si="0"/>
        <v>0</v>
      </c>
      <c r="H351" s="61">
        <f t="shared" si="1"/>
        <v>0</v>
      </c>
      <c r="I351" s="61">
        <f t="shared" si="2"/>
        <v>0</v>
      </c>
      <c r="J351" s="61">
        <v>0.00131</v>
      </c>
      <c r="K351" s="61">
        <f t="shared" si="3"/>
        <v>0.022269999999999998</v>
      </c>
      <c r="L351" s="62" t="s">
        <v>170</v>
      </c>
      <c r="M351" s="39"/>
      <c r="N351" s="39"/>
      <c r="P351" s="11">
        <f t="shared" si="4"/>
        <v>0</v>
      </c>
      <c r="R351" s="11">
        <f t="shared" si="5"/>
        <v>0</v>
      </c>
      <c r="S351" s="11">
        <f t="shared" si="6"/>
        <v>0</v>
      </c>
      <c r="T351" s="11">
        <f t="shared" si="7"/>
        <v>0</v>
      </c>
      <c r="U351" s="11">
        <f t="shared" si="8"/>
        <v>0</v>
      </c>
      <c r="V351" s="11">
        <f t="shared" si="9"/>
        <v>0</v>
      </c>
      <c r="W351" s="11">
        <f t="shared" si="10"/>
        <v>0</v>
      </c>
      <c r="X351" s="11">
        <f t="shared" si="11"/>
        <v>0</v>
      </c>
      <c r="Y351" s="6"/>
      <c r="Z351" s="4">
        <f t="shared" si="12"/>
        <v>0</v>
      </c>
      <c r="AA351" s="4">
        <f t="shared" si="13"/>
        <v>0</v>
      </c>
      <c r="AB351" s="4">
        <f t="shared" si="14"/>
        <v>0</v>
      </c>
      <c r="AD351" s="11">
        <v>21</v>
      </c>
      <c r="AE351" s="11">
        <f t="shared" si="15"/>
        <v>0</v>
      </c>
      <c r="AF351" s="11">
        <f t="shared" si="16"/>
        <v>0</v>
      </c>
      <c r="AG351" s="7" t="s">
        <v>504</v>
      </c>
      <c r="AM351" s="11">
        <f t="shared" si="17"/>
        <v>0</v>
      </c>
      <c r="AN351" s="11">
        <f t="shared" si="18"/>
        <v>0</v>
      </c>
      <c r="AO351" s="12" t="s">
        <v>197</v>
      </c>
      <c r="AP351" s="12" t="s">
        <v>227</v>
      </c>
      <c r="AQ351" s="6" t="s">
        <v>234</v>
      </c>
      <c r="AS351" s="11">
        <f t="shared" si="19"/>
        <v>0</v>
      </c>
      <c r="AT351" s="11">
        <f t="shared" si="20"/>
        <v>0</v>
      </c>
      <c r="AU351" s="11">
        <v>0</v>
      </c>
      <c r="AV351" s="11">
        <f t="shared" si="21"/>
        <v>0.022269999999999998</v>
      </c>
    </row>
    <row r="352" spans="1:48" ht="12.75">
      <c r="A352" s="59" t="s">
        <v>646</v>
      </c>
      <c r="B352" s="59" t="s">
        <v>1020</v>
      </c>
      <c r="C352" s="59" t="s">
        <v>1566</v>
      </c>
      <c r="D352" s="59" t="s">
        <v>144</v>
      </c>
      <c r="E352" s="60">
        <v>7</v>
      </c>
      <c r="F352" s="61"/>
      <c r="G352" s="61">
        <f t="shared" si="0"/>
        <v>0</v>
      </c>
      <c r="H352" s="61">
        <f t="shared" si="1"/>
        <v>0</v>
      </c>
      <c r="I352" s="61">
        <f t="shared" si="2"/>
        <v>0</v>
      </c>
      <c r="J352" s="61">
        <v>0</v>
      </c>
      <c r="K352" s="61">
        <f t="shared" si="3"/>
        <v>0</v>
      </c>
      <c r="L352" s="62" t="s">
        <v>170</v>
      </c>
      <c r="M352" s="39"/>
      <c r="N352" s="39"/>
      <c r="P352" s="11">
        <f t="shared" si="4"/>
        <v>0</v>
      </c>
      <c r="R352" s="11">
        <f t="shared" si="5"/>
        <v>0</v>
      </c>
      <c r="S352" s="11">
        <f t="shared" si="6"/>
        <v>0</v>
      </c>
      <c r="T352" s="11">
        <f t="shared" si="7"/>
        <v>0</v>
      </c>
      <c r="U352" s="11">
        <f t="shared" si="8"/>
        <v>0</v>
      </c>
      <c r="V352" s="11">
        <f t="shared" si="9"/>
        <v>0</v>
      </c>
      <c r="W352" s="11">
        <f t="shared" si="10"/>
        <v>0</v>
      </c>
      <c r="X352" s="11">
        <f t="shared" si="11"/>
        <v>0</v>
      </c>
      <c r="Y352" s="6"/>
      <c r="Z352" s="4">
        <f t="shared" si="12"/>
        <v>0</v>
      </c>
      <c r="AA352" s="4">
        <f t="shared" si="13"/>
        <v>0</v>
      </c>
      <c r="AB352" s="4">
        <f t="shared" si="14"/>
        <v>0</v>
      </c>
      <c r="AD352" s="11">
        <v>21</v>
      </c>
      <c r="AE352" s="11">
        <f t="shared" si="15"/>
        <v>0</v>
      </c>
      <c r="AF352" s="11">
        <f t="shared" si="16"/>
        <v>0</v>
      </c>
      <c r="AG352" s="7" t="s">
        <v>504</v>
      </c>
      <c r="AM352" s="11">
        <f t="shared" si="17"/>
        <v>0</v>
      </c>
      <c r="AN352" s="11">
        <f t="shared" si="18"/>
        <v>0</v>
      </c>
      <c r="AO352" s="12" t="s">
        <v>197</v>
      </c>
      <c r="AP352" s="12" t="s">
        <v>227</v>
      </c>
      <c r="AQ352" s="6" t="s">
        <v>234</v>
      </c>
      <c r="AS352" s="11">
        <f t="shared" si="19"/>
        <v>0</v>
      </c>
      <c r="AT352" s="11">
        <f t="shared" si="20"/>
        <v>0</v>
      </c>
      <c r="AU352" s="11">
        <v>0</v>
      </c>
      <c r="AV352" s="11">
        <f t="shared" si="21"/>
        <v>0</v>
      </c>
    </row>
    <row r="353" spans="1:48" ht="12.75">
      <c r="A353" s="59" t="s">
        <v>647</v>
      </c>
      <c r="B353" s="59" t="s">
        <v>1021</v>
      </c>
      <c r="C353" s="59" t="s">
        <v>1567</v>
      </c>
      <c r="D353" s="59" t="s">
        <v>144</v>
      </c>
      <c r="E353" s="60">
        <v>7</v>
      </c>
      <c r="F353" s="61"/>
      <c r="G353" s="61">
        <f t="shared" si="0"/>
        <v>0</v>
      </c>
      <c r="H353" s="61">
        <f t="shared" si="1"/>
        <v>0</v>
      </c>
      <c r="I353" s="61">
        <f t="shared" si="2"/>
        <v>0</v>
      </c>
      <c r="J353" s="61">
        <v>0</v>
      </c>
      <c r="K353" s="61">
        <f t="shared" si="3"/>
        <v>0</v>
      </c>
      <c r="L353" s="62" t="s">
        <v>170</v>
      </c>
      <c r="M353" s="39"/>
      <c r="N353" s="39"/>
      <c r="P353" s="11">
        <f t="shared" si="4"/>
        <v>0</v>
      </c>
      <c r="R353" s="11">
        <f t="shared" si="5"/>
        <v>0</v>
      </c>
      <c r="S353" s="11">
        <f t="shared" si="6"/>
        <v>0</v>
      </c>
      <c r="T353" s="11">
        <f t="shared" si="7"/>
        <v>0</v>
      </c>
      <c r="U353" s="11">
        <f t="shared" si="8"/>
        <v>0</v>
      </c>
      <c r="V353" s="11">
        <f t="shared" si="9"/>
        <v>0</v>
      </c>
      <c r="W353" s="11">
        <f t="shared" si="10"/>
        <v>0</v>
      </c>
      <c r="X353" s="11">
        <f t="shared" si="11"/>
        <v>0</v>
      </c>
      <c r="Y353" s="6"/>
      <c r="Z353" s="4">
        <f t="shared" si="12"/>
        <v>0</v>
      </c>
      <c r="AA353" s="4">
        <f t="shared" si="13"/>
        <v>0</v>
      </c>
      <c r="AB353" s="4">
        <f t="shared" si="14"/>
        <v>0</v>
      </c>
      <c r="AD353" s="11">
        <v>21</v>
      </c>
      <c r="AE353" s="11">
        <f t="shared" si="15"/>
        <v>0</v>
      </c>
      <c r="AF353" s="11">
        <f t="shared" si="16"/>
        <v>0</v>
      </c>
      <c r="AG353" s="7" t="s">
        <v>504</v>
      </c>
      <c r="AM353" s="11">
        <f t="shared" si="17"/>
        <v>0</v>
      </c>
      <c r="AN353" s="11">
        <f t="shared" si="18"/>
        <v>0</v>
      </c>
      <c r="AO353" s="12" t="s">
        <v>197</v>
      </c>
      <c r="AP353" s="12" t="s">
        <v>227</v>
      </c>
      <c r="AQ353" s="6" t="s">
        <v>234</v>
      </c>
      <c r="AS353" s="11">
        <f t="shared" si="19"/>
        <v>0</v>
      </c>
      <c r="AT353" s="11">
        <f t="shared" si="20"/>
        <v>0</v>
      </c>
      <c r="AU353" s="11">
        <v>0</v>
      </c>
      <c r="AV353" s="11">
        <f t="shared" si="21"/>
        <v>0</v>
      </c>
    </row>
    <row r="354" spans="1:48" ht="12.75">
      <c r="A354" s="59" t="s">
        <v>648</v>
      </c>
      <c r="B354" s="59" t="s">
        <v>1022</v>
      </c>
      <c r="C354" s="59" t="s">
        <v>1568</v>
      </c>
      <c r="D354" s="59" t="s">
        <v>144</v>
      </c>
      <c r="E354" s="60">
        <v>3</v>
      </c>
      <c r="F354" s="61"/>
      <c r="G354" s="61">
        <f t="shared" si="0"/>
        <v>0</v>
      </c>
      <c r="H354" s="61">
        <f t="shared" si="1"/>
        <v>0</v>
      </c>
      <c r="I354" s="61">
        <f t="shared" si="2"/>
        <v>0</v>
      </c>
      <c r="J354" s="61">
        <v>0</v>
      </c>
      <c r="K354" s="61">
        <f t="shared" si="3"/>
        <v>0</v>
      </c>
      <c r="L354" s="62" t="s">
        <v>170</v>
      </c>
      <c r="M354" s="39"/>
      <c r="N354" s="39"/>
      <c r="P354" s="11">
        <f t="shared" si="4"/>
        <v>0</v>
      </c>
      <c r="R354" s="11">
        <f t="shared" si="5"/>
        <v>0</v>
      </c>
      <c r="S354" s="11">
        <f t="shared" si="6"/>
        <v>0</v>
      </c>
      <c r="T354" s="11">
        <f t="shared" si="7"/>
        <v>0</v>
      </c>
      <c r="U354" s="11">
        <f t="shared" si="8"/>
        <v>0</v>
      </c>
      <c r="V354" s="11">
        <f t="shared" si="9"/>
        <v>0</v>
      </c>
      <c r="W354" s="11">
        <f t="shared" si="10"/>
        <v>0</v>
      </c>
      <c r="X354" s="11">
        <f t="shared" si="11"/>
        <v>0</v>
      </c>
      <c r="Y354" s="6"/>
      <c r="Z354" s="4">
        <f t="shared" si="12"/>
        <v>0</v>
      </c>
      <c r="AA354" s="4">
        <f t="shared" si="13"/>
        <v>0</v>
      </c>
      <c r="AB354" s="4">
        <f t="shared" si="14"/>
        <v>0</v>
      </c>
      <c r="AD354" s="11">
        <v>21</v>
      </c>
      <c r="AE354" s="11">
        <f t="shared" si="15"/>
        <v>0</v>
      </c>
      <c r="AF354" s="11">
        <f t="shared" si="16"/>
        <v>0</v>
      </c>
      <c r="AG354" s="7" t="s">
        <v>504</v>
      </c>
      <c r="AM354" s="11">
        <f t="shared" si="17"/>
        <v>0</v>
      </c>
      <c r="AN354" s="11">
        <f t="shared" si="18"/>
        <v>0</v>
      </c>
      <c r="AO354" s="12" t="s">
        <v>197</v>
      </c>
      <c r="AP354" s="12" t="s">
        <v>227</v>
      </c>
      <c r="AQ354" s="6" t="s">
        <v>234</v>
      </c>
      <c r="AS354" s="11">
        <f t="shared" si="19"/>
        <v>0</v>
      </c>
      <c r="AT354" s="11">
        <f t="shared" si="20"/>
        <v>0</v>
      </c>
      <c r="AU354" s="11">
        <v>0</v>
      </c>
      <c r="AV354" s="11">
        <f t="shared" si="21"/>
        <v>0</v>
      </c>
    </row>
    <row r="355" spans="1:48" ht="12.75">
      <c r="A355" s="59" t="s">
        <v>649</v>
      </c>
      <c r="B355" s="59" t="s">
        <v>1023</v>
      </c>
      <c r="C355" s="59" t="s">
        <v>1569</v>
      </c>
      <c r="D355" s="59" t="s">
        <v>144</v>
      </c>
      <c r="E355" s="60">
        <v>2</v>
      </c>
      <c r="F355" s="61"/>
      <c r="G355" s="61">
        <f t="shared" si="0"/>
        <v>0</v>
      </c>
      <c r="H355" s="61">
        <f t="shared" si="1"/>
        <v>0</v>
      </c>
      <c r="I355" s="61">
        <f t="shared" si="2"/>
        <v>0</v>
      </c>
      <c r="J355" s="61">
        <v>0.00214</v>
      </c>
      <c r="K355" s="61">
        <f t="shared" si="3"/>
        <v>0.00428</v>
      </c>
      <c r="L355" s="62" t="s">
        <v>170</v>
      </c>
      <c r="M355" s="39"/>
      <c r="N355" s="39"/>
      <c r="P355" s="11">
        <f t="shared" si="4"/>
        <v>0</v>
      </c>
      <c r="R355" s="11">
        <f t="shared" si="5"/>
        <v>0</v>
      </c>
      <c r="S355" s="11">
        <f t="shared" si="6"/>
        <v>0</v>
      </c>
      <c r="T355" s="11">
        <f t="shared" si="7"/>
        <v>0</v>
      </c>
      <c r="U355" s="11">
        <f t="shared" si="8"/>
        <v>0</v>
      </c>
      <c r="V355" s="11">
        <f t="shared" si="9"/>
        <v>0</v>
      </c>
      <c r="W355" s="11">
        <f t="shared" si="10"/>
        <v>0</v>
      </c>
      <c r="X355" s="11">
        <f t="shared" si="11"/>
        <v>0</v>
      </c>
      <c r="Y355" s="6"/>
      <c r="Z355" s="4">
        <f t="shared" si="12"/>
        <v>0</v>
      </c>
      <c r="AA355" s="4">
        <f t="shared" si="13"/>
        <v>0</v>
      </c>
      <c r="AB355" s="4">
        <f t="shared" si="14"/>
        <v>0</v>
      </c>
      <c r="AD355" s="11">
        <v>21</v>
      </c>
      <c r="AE355" s="11">
        <f t="shared" si="15"/>
        <v>0</v>
      </c>
      <c r="AF355" s="11">
        <f t="shared" si="16"/>
        <v>0</v>
      </c>
      <c r="AG355" s="7" t="s">
        <v>504</v>
      </c>
      <c r="AM355" s="11">
        <f t="shared" si="17"/>
        <v>0</v>
      </c>
      <c r="AN355" s="11">
        <f t="shared" si="18"/>
        <v>0</v>
      </c>
      <c r="AO355" s="12" t="s">
        <v>197</v>
      </c>
      <c r="AP355" s="12" t="s">
        <v>227</v>
      </c>
      <c r="AQ355" s="6" t="s">
        <v>234</v>
      </c>
      <c r="AS355" s="11">
        <f t="shared" si="19"/>
        <v>0</v>
      </c>
      <c r="AT355" s="11">
        <f t="shared" si="20"/>
        <v>0</v>
      </c>
      <c r="AU355" s="11">
        <v>0</v>
      </c>
      <c r="AV355" s="11">
        <f t="shared" si="21"/>
        <v>0.00428</v>
      </c>
    </row>
    <row r="356" spans="1:48" ht="12.75">
      <c r="A356" s="59" t="s">
        <v>650</v>
      </c>
      <c r="B356" s="59" t="s">
        <v>1024</v>
      </c>
      <c r="C356" s="59" t="s">
        <v>1570</v>
      </c>
      <c r="D356" s="59" t="s">
        <v>144</v>
      </c>
      <c r="E356" s="60">
        <v>2</v>
      </c>
      <c r="F356" s="61"/>
      <c r="G356" s="61">
        <f t="shared" si="0"/>
        <v>0</v>
      </c>
      <c r="H356" s="61">
        <f t="shared" si="1"/>
        <v>0</v>
      </c>
      <c r="I356" s="61">
        <f t="shared" si="2"/>
        <v>0</v>
      </c>
      <c r="J356" s="61">
        <v>0.0038</v>
      </c>
      <c r="K356" s="61">
        <f t="shared" si="3"/>
        <v>0.0076</v>
      </c>
      <c r="L356" s="62" t="s">
        <v>170</v>
      </c>
      <c r="M356" s="39"/>
      <c r="N356" s="39"/>
      <c r="P356" s="11">
        <f t="shared" si="4"/>
        <v>0</v>
      </c>
      <c r="R356" s="11">
        <f t="shared" si="5"/>
        <v>0</v>
      </c>
      <c r="S356" s="11">
        <f t="shared" si="6"/>
        <v>0</v>
      </c>
      <c r="T356" s="11">
        <f t="shared" si="7"/>
        <v>0</v>
      </c>
      <c r="U356" s="11">
        <f t="shared" si="8"/>
        <v>0</v>
      </c>
      <c r="V356" s="11">
        <f t="shared" si="9"/>
        <v>0</v>
      </c>
      <c r="W356" s="11">
        <f t="shared" si="10"/>
        <v>0</v>
      </c>
      <c r="X356" s="11">
        <f t="shared" si="11"/>
        <v>0</v>
      </c>
      <c r="Y356" s="6"/>
      <c r="Z356" s="4">
        <f t="shared" si="12"/>
        <v>0</v>
      </c>
      <c r="AA356" s="4">
        <f t="shared" si="13"/>
        <v>0</v>
      </c>
      <c r="AB356" s="4">
        <f t="shared" si="14"/>
        <v>0</v>
      </c>
      <c r="AD356" s="11">
        <v>21</v>
      </c>
      <c r="AE356" s="11">
        <f t="shared" si="15"/>
        <v>0</v>
      </c>
      <c r="AF356" s="11">
        <f t="shared" si="16"/>
        <v>0</v>
      </c>
      <c r="AG356" s="7" t="s">
        <v>504</v>
      </c>
      <c r="AM356" s="11">
        <f t="shared" si="17"/>
        <v>0</v>
      </c>
      <c r="AN356" s="11">
        <f t="shared" si="18"/>
        <v>0</v>
      </c>
      <c r="AO356" s="12" t="s">
        <v>197</v>
      </c>
      <c r="AP356" s="12" t="s">
        <v>227</v>
      </c>
      <c r="AQ356" s="6" t="s">
        <v>234</v>
      </c>
      <c r="AS356" s="11">
        <f t="shared" si="19"/>
        <v>0</v>
      </c>
      <c r="AT356" s="11">
        <f t="shared" si="20"/>
        <v>0</v>
      </c>
      <c r="AU356" s="11">
        <v>0</v>
      </c>
      <c r="AV356" s="11">
        <f t="shared" si="21"/>
        <v>0.0076</v>
      </c>
    </row>
    <row r="357" spans="1:48" ht="12.75">
      <c r="A357" s="59" t="s">
        <v>651</v>
      </c>
      <c r="B357" s="59" t="s">
        <v>1025</v>
      </c>
      <c r="C357" s="59" t="s">
        <v>1571</v>
      </c>
      <c r="D357" s="59" t="s">
        <v>146</v>
      </c>
      <c r="E357" s="60">
        <v>30</v>
      </c>
      <c r="F357" s="61"/>
      <c r="G357" s="61">
        <f t="shared" si="0"/>
        <v>0</v>
      </c>
      <c r="H357" s="61">
        <f t="shared" si="1"/>
        <v>0</v>
      </c>
      <c r="I357" s="61">
        <f t="shared" si="2"/>
        <v>0</v>
      </c>
      <c r="J357" s="61">
        <v>0</v>
      </c>
      <c r="K357" s="61">
        <f t="shared" si="3"/>
        <v>0</v>
      </c>
      <c r="L357" s="62" t="s">
        <v>170</v>
      </c>
      <c r="M357" s="39"/>
      <c r="N357" s="39"/>
      <c r="P357" s="11">
        <f t="shared" si="4"/>
        <v>0</v>
      </c>
      <c r="R357" s="11">
        <f t="shared" si="5"/>
        <v>0</v>
      </c>
      <c r="S357" s="11">
        <f t="shared" si="6"/>
        <v>0</v>
      </c>
      <c r="T357" s="11">
        <f t="shared" si="7"/>
        <v>0</v>
      </c>
      <c r="U357" s="11">
        <f t="shared" si="8"/>
        <v>0</v>
      </c>
      <c r="V357" s="11">
        <f t="shared" si="9"/>
        <v>0</v>
      </c>
      <c r="W357" s="11">
        <f t="shared" si="10"/>
        <v>0</v>
      </c>
      <c r="X357" s="11">
        <f t="shared" si="11"/>
        <v>0</v>
      </c>
      <c r="Y357" s="6"/>
      <c r="Z357" s="4">
        <f t="shared" si="12"/>
        <v>0</v>
      </c>
      <c r="AA357" s="4">
        <f t="shared" si="13"/>
        <v>0</v>
      </c>
      <c r="AB357" s="4">
        <f t="shared" si="14"/>
        <v>0</v>
      </c>
      <c r="AD357" s="11">
        <v>21</v>
      </c>
      <c r="AE357" s="11">
        <f t="shared" si="15"/>
        <v>0</v>
      </c>
      <c r="AF357" s="11">
        <f t="shared" si="16"/>
        <v>0</v>
      </c>
      <c r="AG357" s="7" t="s">
        <v>504</v>
      </c>
      <c r="AM357" s="11">
        <f t="shared" si="17"/>
        <v>0</v>
      </c>
      <c r="AN357" s="11">
        <f t="shared" si="18"/>
        <v>0</v>
      </c>
      <c r="AO357" s="12" t="s">
        <v>197</v>
      </c>
      <c r="AP357" s="12" t="s">
        <v>227</v>
      </c>
      <c r="AQ357" s="6" t="s">
        <v>234</v>
      </c>
      <c r="AS357" s="11">
        <f t="shared" si="19"/>
        <v>0</v>
      </c>
      <c r="AT357" s="11">
        <f t="shared" si="20"/>
        <v>0</v>
      </c>
      <c r="AU357" s="11">
        <v>0</v>
      </c>
      <c r="AV357" s="11">
        <f t="shared" si="21"/>
        <v>0</v>
      </c>
    </row>
    <row r="358" spans="1:48" ht="12.75">
      <c r="A358" s="59" t="s">
        <v>652</v>
      </c>
      <c r="B358" s="59" t="s">
        <v>1026</v>
      </c>
      <c r="C358" s="59" t="s">
        <v>1572</v>
      </c>
      <c r="D358" s="59" t="s">
        <v>146</v>
      </c>
      <c r="E358" s="60">
        <v>16.1</v>
      </c>
      <c r="F358" s="61"/>
      <c r="G358" s="61">
        <f t="shared" si="0"/>
        <v>0</v>
      </c>
      <c r="H358" s="61">
        <f t="shared" si="1"/>
        <v>0</v>
      </c>
      <c r="I358" s="61">
        <f t="shared" si="2"/>
        <v>0</v>
      </c>
      <c r="J358" s="61">
        <v>0</v>
      </c>
      <c r="K358" s="61">
        <f t="shared" si="3"/>
        <v>0</v>
      </c>
      <c r="L358" s="62" t="s">
        <v>170</v>
      </c>
      <c r="M358" s="39"/>
      <c r="N358" s="39"/>
      <c r="P358" s="11">
        <f t="shared" si="4"/>
        <v>0</v>
      </c>
      <c r="R358" s="11">
        <f t="shared" si="5"/>
        <v>0</v>
      </c>
      <c r="S358" s="11">
        <f t="shared" si="6"/>
        <v>0</v>
      </c>
      <c r="T358" s="11">
        <f t="shared" si="7"/>
        <v>0</v>
      </c>
      <c r="U358" s="11">
        <f t="shared" si="8"/>
        <v>0</v>
      </c>
      <c r="V358" s="11">
        <f t="shared" si="9"/>
        <v>0</v>
      </c>
      <c r="W358" s="11">
        <f t="shared" si="10"/>
        <v>0</v>
      </c>
      <c r="X358" s="11">
        <f t="shared" si="11"/>
        <v>0</v>
      </c>
      <c r="Y358" s="6"/>
      <c r="Z358" s="4">
        <f t="shared" si="12"/>
        <v>0</v>
      </c>
      <c r="AA358" s="4">
        <f t="shared" si="13"/>
        <v>0</v>
      </c>
      <c r="AB358" s="4">
        <f t="shared" si="14"/>
        <v>0</v>
      </c>
      <c r="AD358" s="11">
        <v>21</v>
      </c>
      <c r="AE358" s="11">
        <f t="shared" si="15"/>
        <v>0</v>
      </c>
      <c r="AF358" s="11">
        <f t="shared" si="16"/>
        <v>0</v>
      </c>
      <c r="AG358" s="7" t="s">
        <v>504</v>
      </c>
      <c r="AM358" s="11">
        <f t="shared" si="17"/>
        <v>0</v>
      </c>
      <c r="AN358" s="11">
        <f t="shared" si="18"/>
        <v>0</v>
      </c>
      <c r="AO358" s="12" t="s">
        <v>197</v>
      </c>
      <c r="AP358" s="12" t="s">
        <v>227</v>
      </c>
      <c r="AQ358" s="6" t="s">
        <v>234</v>
      </c>
      <c r="AS358" s="11">
        <f t="shared" si="19"/>
        <v>0</v>
      </c>
      <c r="AT358" s="11">
        <f t="shared" si="20"/>
        <v>0</v>
      </c>
      <c r="AU358" s="11">
        <v>0</v>
      </c>
      <c r="AV358" s="11">
        <f t="shared" si="21"/>
        <v>0</v>
      </c>
    </row>
    <row r="359" spans="1:48" ht="12.75">
      <c r="A359" s="59" t="s">
        <v>653</v>
      </c>
      <c r="B359" s="59" t="s">
        <v>1027</v>
      </c>
      <c r="C359" s="59" t="s">
        <v>1573</v>
      </c>
      <c r="D359" s="59" t="s">
        <v>146</v>
      </c>
      <c r="E359" s="60">
        <v>19.6</v>
      </c>
      <c r="F359" s="61"/>
      <c r="G359" s="61">
        <f t="shared" si="0"/>
        <v>0</v>
      </c>
      <c r="H359" s="61">
        <f t="shared" si="1"/>
        <v>0</v>
      </c>
      <c r="I359" s="61">
        <f t="shared" si="2"/>
        <v>0</v>
      </c>
      <c r="J359" s="61">
        <v>0</v>
      </c>
      <c r="K359" s="61">
        <f t="shared" si="3"/>
        <v>0</v>
      </c>
      <c r="L359" s="62" t="s">
        <v>170</v>
      </c>
      <c r="M359" s="39"/>
      <c r="N359" s="39"/>
      <c r="P359" s="11">
        <f t="shared" si="4"/>
        <v>0</v>
      </c>
      <c r="R359" s="11">
        <f t="shared" si="5"/>
        <v>0</v>
      </c>
      <c r="S359" s="11">
        <f t="shared" si="6"/>
        <v>0</v>
      </c>
      <c r="T359" s="11">
        <f t="shared" si="7"/>
        <v>0</v>
      </c>
      <c r="U359" s="11">
        <f t="shared" si="8"/>
        <v>0</v>
      </c>
      <c r="V359" s="11">
        <f t="shared" si="9"/>
        <v>0</v>
      </c>
      <c r="W359" s="11">
        <f t="shared" si="10"/>
        <v>0</v>
      </c>
      <c r="X359" s="11">
        <f t="shared" si="11"/>
        <v>0</v>
      </c>
      <c r="Y359" s="6"/>
      <c r="Z359" s="4">
        <f t="shared" si="12"/>
        <v>0</v>
      </c>
      <c r="AA359" s="4">
        <f t="shared" si="13"/>
        <v>0</v>
      </c>
      <c r="AB359" s="4">
        <f t="shared" si="14"/>
        <v>0</v>
      </c>
      <c r="AD359" s="11">
        <v>21</v>
      </c>
      <c r="AE359" s="11">
        <f t="shared" si="15"/>
        <v>0</v>
      </c>
      <c r="AF359" s="11">
        <f t="shared" si="16"/>
        <v>0</v>
      </c>
      <c r="AG359" s="7" t="s">
        <v>504</v>
      </c>
      <c r="AM359" s="11">
        <f t="shared" si="17"/>
        <v>0</v>
      </c>
      <c r="AN359" s="11">
        <f t="shared" si="18"/>
        <v>0</v>
      </c>
      <c r="AO359" s="12" t="s">
        <v>197</v>
      </c>
      <c r="AP359" s="12" t="s">
        <v>227</v>
      </c>
      <c r="AQ359" s="6" t="s">
        <v>234</v>
      </c>
      <c r="AS359" s="11">
        <f t="shared" si="19"/>
        <v>0</v>
      </c>
      <c r="AT359" s="11">
        <f t="shared" si="20"/>
        <v>0</v>
      </c>
      <c r="AU359" s="11">
        <v>0</v>
      </c>
      <c r="AV359" s="11">
        <f t="shared" si="21"/>
        <v>0</v>
      </c>
    </row>
    <row r="360" spans="1:48" ht="12.75">
      <c r="A360" s="59" t="s">
        <v>654</v>
      </c>
      <c r="B360" s="59" t="s">
        <v>1028</v>
      </c>
      <c r="C360" s="59" t="s">
        <v>1574</v>
      </c>
      <c r="D360" s="59" t="s">
        <v>146</v>
      </c>
      <c r="E360" s="60">
        <v>15</v>
      </c>
      <c r="F360" s="61"/>
      <c r="G360" s="61">
        <f t="shared" si="0"/>
        <v>0</v>
      </c>
      <c r="H360" s="61">
        <f t="shared" si="1"/>
        <v>0</v>
      </c>
      <c r="I360" s="61">
        <f t="shared" si="2"/>
        <v>0</v>
      </c>
      <c r="J360" s="61">
        <v>0.06359</v>
      </c>
      <c r="K360" s="61">
        <f t="shared" si="3"/>
        <v>0.9538499999999999</v>
      </c>
      <c r="L360" s="62" t="s">
        <v>170</v>
      </c>
      <c r="M360" s="39"/>
      <c r="N360" s="39"/>
      <c r="P360" s="11">
        <f t="shared" si="4"/>
        <v>0</v>
      </c>
      <c r="R360" s="11">
        <f t="shared" si="5"/>
        <v>0</v>
      </c>
      <c r="S360" s="11">
        <f t="shared" si="6"/>
        <v>0</v>
      </c>
      <c r="T360" s="11">
        <f t="shared" si="7"/>
        <v>0</v>
      </c>
      <c r="U360" s="11">
        <f t="shared" si="8"/>
        <v>0</v>
      </c>
      <c r="V360" s="11">
        <f t="shared" si="9"/>
        <v>0</v>
      </c>
      <c r="W360" s="11">
        <f t="shared" si="10"/>
        <v>0</v>
      </c>
      <c r="X360" s="11">
        <f t="shared" si="11"/>
        <v>0</v>
      </c>
      <c r="Y360" s="6"/>
      <c r="Z360" s="4">
        <f t="shared" si="12"/>
        <v>0</v>
      </c>
      <c r="AA360" s="4">
        <f t="shared" si="13"/>
        <v>0</v>
      </c>
      <c r="AB360" s="4">
        <f t="shared" si="14"/>
        <v>0</v>
      </c>
      <c r="AD360" s="11">
        <v>21</v>
      </c>
      <c r="AE360" s="11">
        <f t="shared" si="15"/>
        <v>0</v>
      </c>
      <c r="AF360" s="11">
        <f t="shared" si="16"/>
        <v>0</v>
      </c>
      <c r="AG360" s="7" t="s">
        <v>504</v>
      </c>
      <c r="AM360" s="11">
        <f t="shared" si="17"/>
        <v>0</v>
      </c>
      <c r="AN360" s="11">
        <f t="shared" si="18"/>
        <v>0</v>
      </c>
      <c r="AO360" s="12" t="s">
        <v>197</v>
      </c>
      <c r="AP360" s="12" t="s">
        <v>227</v>
      </c>
      <c r="AQ360" s="6" t="s">
        <v>234</v>
      </c>
      <c r="AS360" s="11">
        <f t="shared" si="19"/>
        <v>0</v>
      </c>
      <c r="AT360" s="11">
        <f t="shared" si="20"/>
        <v>0</v>
      </c>
      <c r="AU360" s="11">
        <v>0</v>
      </c>
      <c r="AV360" s="11">
        <f t="shared" si="21"/>
        <v>0.9538499999999999</v>
      </c>
    </row>
    <row r="361" spans="1:48" ht="12.75">
      <c r="A361" s="59" t="s">
        <v>655</v>
      </c>
      <c r="B361" s="59" t="s">
        <v>1029</v>
      </c>
      <c r="C361" s="59" t="s">
        <v>1575</v>
      </c>
      <c r="D361" s="59" t="s">
        <v>143</v>
      </c>
      <c r="E361" s="60">
        <v>0.064</v>
      </c>
      <c r="F361" s="61"/>
      <c r="G361" s="61">
        <f t="shared" si="0"/>
        <v>0</v>
      </c>
      <c r="H361" s="61">
        <f t="shared" si="1"/>
        <v>0</v>
      </c>
      <c r="I361" s="61">
        <f t="shared" si="2"/>
        <v>0</v>
      </c>
      <c r="J361" s="61">
        <v>0</v>
      </c>
      <c r="K361" s="61">
        <f t="shared" si="3"/>
        <v>0</v>
      </c>
      <c r="L361" s="62" t="s">
        <v>170</v>
      </c>
      <c r="M361" s="39"/>
      <c r="N361" s="39"/>
      <c r="P361" s="11">
        <f t="shared" si="4"/>
        <v>0</v>
      </c>
      <c r="R361" s="11">
        <f t="shared" si="5"/>
        <v>0</v>
      </c>
      <c r="S361" s="11">
        <f t="shared" si="6"/>
        <v>0</v>
      </c>
      <c r="T361" s="11">
        <f t="shared" si="7"/>
        <v>0</v>
      </c>
      <c r="U361" s="11">
        <f t="shared" si="8"/>
        <v>0</v>
      </c>
      <c r="V361" s="11">
        <f t="shared" si="9"/>
        <v>0</v>
      </c>
      <c r="W361" s="11">
        <f t="shared" si="10"/>
        <v>0</v>
      </c>
      <c r="X361" s="11">
        <f t="shared" si="11"/>
        <v>0</v>
      </c>
      <c r="Y361" s="6"/>
      <c r="Z361" s="4">
        <f t="shared" si="12"/>
        <v>0</v>
      </c>
      <c r="AA361" s="4">
        <f t="shared" si="13"/>
        <v>0</v>
      </c>
      <c r="AB361" s="4">
        <f t="shared" si="14"/>
        <v>0</v>
      </c>
      <c r="AD361" s="11">
        <v>21</v>
      </c>
      <c r="AE361" s="11">
        <f t="shared" si="15"/>
        <v>0</v>
      </c>
      <c r="AF361" s="11">
        <f t="shared" si="16"/>
        <v>0</v>
      </c>
      <c r="AG361" s="7" t="s">
        <v>504</v>
      </c>
      <c r="AM361" s="11">
        <f t="shared" si="17"/>
        <v>0</v>
      </c>
      <c r="AN361" s="11">
        <f t="shared" si="18"/>
        <v>0</v>
      </c>
      <c r="AO361" s="12" t="s">
        <v>197</v>
      </c>
      <c r="AP361" s="12" t="s">
        <v>227</v>
      </c>
      <c r="AQ361" s="6" t="s">
        <v>234</v>
      </c>
      <c r="AS361" s="11">
        <f t="shared" si="19"/>
        <v>0</v>
      </c>
      <c r="AT361" s="11">
        <f t="shared" si="20"/>
        <v>0</v>
      </c>
      <c r="AU361" s="11">
        <v>0</v>
      </c>
      <c r="AV361" s="11">
        <f t="shared" si="21"/>
        <v>0</v>
      </c>
    </row>
    <row r="362" spans="1:48" ht="12.75">
      <c r="A362" s="59" t="s">
        <v>656</v>
      </c>
      <c r="B362" s="59" t="s">
        <v>1030</v>
      </c>
      <c r="C362" s="59" t="s">
        <v>1576</v>
      </c>
      <c r="D362" s="59" t="s">
        <v>148</v>
      </c>
      <c r="E362" s="60">
        <v>1</v>
      </c>
      <c r="F362" s="61"/>
      <c r="G362" s="61">
        <f t="shared" si="0"/>
        <v>0</v>
      </c>
      <c r="H362" s="61">
        <f t="shared" si="1"/>
        <v>0</v>
      </c>
      <c r="I362" s="61">
        <f t="shared" si="2"/>
        <v>0</v>
      </c>
      <c r="J362" s="61">
        <v>0</v>
      </c>
      <c r="K362" s="61">
        <f t="shared" si="3"/>
        <v>0</v>
      </c>
      <c r="L362" s="62" t="s">
        <v>170</v>
      </c>
      <c r="M362" s="39"/>
      <c r="N362" s="39"/>
      <c r="P362" s="11">
        <f t="shared" si="4"/>
        <v>0</v>
      </c>
      <c r="R362" s="11">
        <f t="shared" si="5"/>
        <v>0</v>
      </c>
      <c r="S362" s="11">
        <f t="shared" si="6"/>
        <v>0</v>
      </c>
      <c r="T362" s="11">
        <f t="shared" si="7"/>
        <v>0</v>
      </c>
      <c r="U362" s="11">
        <f t="shared" si="8"/>
        <v>0</v>
      </c>
      <c r="V362" s="11">
        <f t="shared" si="9"/>
        <v>0</v>
      </c>
      <c r="W362" s="11">
        <f t="shared" si="10"/>
        <v>0</v>
      </c>
      <c r="X362" s="11">
        <f t="shared" si="11"/>
        <v>0</v>
      </c>
      <c r="Y362" s="6"/>
      <c r="Z362" s="4">
        <f t="shared" si="12"/>
        <v>0</v>
      </c>
      <c r="AA362" s="4">
        <f t="shared" si="13"/>
        <v>0</v>
      </c>
      <c r="AB362" s="4">
        <f t="shared" si="14"/>
        <v>0</v>
      </c>
      <c r="AD362" s="11">
        <v>21</v>
      </c>
      <c r="AE362" s="11">
        <f>F362*0.5</f>
        <v>0</v>
      </c>
      <c r="AF362" s="11">
        <f>F362*(1-0.5)</f>
        <v>0</v>
      </c>
      <c r="AG362" s="7" t="s">
        <v>504</v>
      </c>
      <c r="AM362" s="11">
        <f t="shared" si="17"/>
        <v>0</v>
      </c>
      <c r="AN362" s="11">
        <f t="shared" si="18"/>
        <v>0</v>
      </c>
      <c r="AO362" s="12" t="s">
        <v>197</v>
      </c>
      <c r="AP362" s="12" t="s">
        <v>227</v>
      </c>
      <c r="AQ362" s="6" t="s">
        <v>234</v>
      </c>
      <c r="AS362" s="11">
        <f t="shared" si="19"/>
        <v>0</v>
      </c>
      <c r="AT362" s="11">
        <f t="shared" si="20"/>
        <v>0</v>
      </c>
      <c r="AU362" s="11">
        <v>0</v>
      </c>
      <c r="AV362" s="11">
        <f t="shared" si="21"/>
        <v>0</v>
      </c>
    </row>
    <row r="363" spans="1:14" ht="12.75">
      <c r="A363" s="39"/>
      <c r="B363" s="39"/>
      <c r="C363" s="63" t="s">
        <v>498</v>
      </c>
      <c r="D363" s="39"/>
      <c r="E363" s="64">
        <v>1</v>
      </c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48" ht="12.75">
      <c r="A364" s="59" t="s">
        <v>657</v>
      </c>
      <c r="B364" s="59" t="s">
        <v>1031</v>
      </c>
      <c r="C364" s="59" t="s">
        <v>1577</v>
      </c>
      <c r="D364" s="59" t="s">
        <v>148</v>
      </c>
      <c r="E364" s="60">
        <v>3</v>
      </c>
      <c r="F364" s="61"/>
      <c r="G364" s="61">
        <f>E364*AE364</f>
        <v>0</v>
      </c>
      <c r="H364" s="61">
        <f>I364-G364</f>
        <v>0</v>
      </c>
      <c r="I364" s="61">
        <f>E364*F364</f>
        <v>0</v>
      </c>
      <c r="J364" s="61">
        <v>0</v>
      </c>
      <c r="K364" s="61">
        <f>E364*J364</f>
        <v>0</v>
      </c>
      <c r="L364" s="62" t="s">
        <v>170</v>
      </c>
      <c r="M364" s="39"/>
      <c r="N364" s="39"/>
      <c r="P364" s="11">
        <f>IF(AG364="5",I364,0)</f>
        <v>0</v>
      </c>
      <c r="R364" s="11">
        <f>IF(AG364="1",G364,0)</f>
        <v>0</v>
      </c>
      <c r="S364" s="11">
        <f>IF(AG364="1",H364,0)</f>
        <v>0</v>
      </c>
      <c r="T364" s="11">
        <f>IF(AG364="7",G364,0)</f>
        <v>0</v>
      </c>
      <c r="U364" s="11">
        <f>IF(AG364="7",H364,0)</f>
        <v>0</v>
      </c>
      <c r="V364" s="11">
        <f>IF(AG364="2",G364,0)</f>
        <v>0</v>
      </c>
      <c r="W364" s="11">
        <f>IF(AG364="2",H364,0)</f>
        <v>0</v>
      </c>
      <c r="X364" s="11">
        <f>IF(AG364="0",I364,0)</f>
        <v>0</v>
      </c>
      <c r="Y364" s="6"/>
      <c r="Z364" s="4">
        <f>IF(AD364=0,I364,0)</f>
        <v>0</v>
      </c>
      <c r="AA364" s="4">
        <f>IF(AD364=15,I364,0)</f>
        <v>0</v>
      </c>
      <c r="AB364" s="4">
        <f>IF(AD364=21,I364,0)</f>
        <v>0</v>
      </c>
      <c r="AD364" s="11">
        <v>21</v>
      </c>
      <c r="AE364" s="11">
        <f>F364*0</f>
        <v>0</v>
      </c>
      <c r="AF364" s="11">
        <f>F364*(1-0)</f>
        <v>0</v>
      </c>
      <c r="AG364" s="7" t="s">
        <v>504</v>
      </c>
      <c r="AM364" s="11">
        <f>E364*AE364</f>
        <v>0</v>
      </c>
      <c r="AN364" s="11">
        <f>E364*AF364</f>
        <v>0</v>
      </c>
      <c r="AO364" s="12" t="s">
        <v>197</v>
      </c>
      <c r="AP364" s="12" t="s">
        <v>227</v>
      </c>
      <c r="AQ364" s="6" t="s">
        <v>234</v>
      </c>
      <c r="AS364" s="11">
        <f>AM364+AN364</f>
        <v>0</v>
      </c>
      <c r="AT364" s="11">
        <f>F364/(100-AU364)*100</f>
        <v>0</v>
      </c>
      <c r="AU364" s="11">
        <v>0</v>
      </c>
      <c r="AV364" s="11">
        <f>K364</f>
        <v>0</v>
      </c>
    </row>
    <row r="365" spans="1:14" ht="12.75">
      <c r="A365" s="39"/>
      <c r="B365" s="39"/>
      <c r="C365" s="63" t="s">
        <v>500</v>
      </c>
      <c r="D365" s="39"/>
      <c r="E365" s="64">
        <v>3</v>
      </c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37" ht="12.75">
      <c r="A366" s="66"/>
      <c r="B366" s="67" t="s">
        <v>1032</v>
      </c>
      <c r="C366" s="305" t="s">
        <v>1578</v>
      </c>
      <c r="D366" s="306"/>
      <c r="E366" s="306"/>
      <c r="F366" s="306"/>
      <c r="G366" s="68">
        <f>SUM(G367:G408)</f>
        <v>0</v>
      </c>
      <c r="H366" s="68">
        <f>SUM(H367:H408)</f>
        <v>0</v>
      </c>
      <c r="I366" s="68">
        <f>G366+H366</f>
        <v>0</v>
      </c>
      <c r="J366" s="69"/>
      <c r="K366" s="68">
        <f>SUM(K367:K408)</f>
        <v>1.03011</v>
      </c>
      <c r="L366" s="69"/>
      <c r="M366" s="39"/>
      <c r="N366" s="39"/>
      <c r="Y366" s="6"/>
      <c r="AI366" s="13">
        <f>SUM(Z367:Z408)</f>
        <v>0</v>
      </c>
      <c r="AJ366" s="13">
        <f>SUM(AA367:AA408)</f>
        <v>0</v>
      </c>
      <c r="AK366" s="13">
        <f>SUM(AB367:AB408)</f>
        <v>0</v>
      </c>
    </row>
    <row r="367" spans="1:48" ht="12.75">
      <c r="A367" s="59" t="s">
        <v>658</v>
      </c>
      <c r="B367" s="59" t="s">
        <v>1033</v>
      </c>
      <c r="C367" s="59" t="s">
        <v>1579</v>
      </c>
      <c r="D367" s="59" t="s">
        <v>144</v>
      </c>
      <c r="E367" s="60">
        <v>1</v>
      </c>
      <c r="F367" s="61"/>
      <c r="G367" s="61">
        <f aca="true" t="shared" si="22" ref="G367:G408">E367*AE367</f>
        <v>0</v>
      </c>
      <c r="H367" s="61">
        <f aca="true" t="shared" si="23" ref="H367:H408">I367-G367</f>
        <v>0</v>
      </c>
      <c r="I367" s="61">
        <f aca="true" t="shared" si="24" ref="I367:I408">E367*F367</f>
        <v>0</v>
      </c>
      <c r="J367" s="61">
        <v>0.00047</v>
      </c>
      <c r="K367" s="61">
        <f aca="true" t="shared" si="25" ref="K367:K408">E367*J367</f>
        <v>0.00047</v>
      </c>
      <c r="L367" s="62" t="s">
        <v>170</v>
      </c>
      <c r="M367" s="39"/>
      <c r="N367" s="39"/>
      <c r="P367" s="11">
        <f aca="true" t="shared" si="26" ref="P367:P408">IF(AG367="5",I367,0)</f>
        <v>0</v>
      </c>
      <c r="R367" s="11">
        <f aca="true" t="shared" si="27" ref="R367:R408">IF(AG367="1",G367,0)</f>
        <v>0</v>
      </c>
      <c r="S367" s="11">
        <f aca="true" t="shared" si="28" ref="S367:S408">IF(AG367="1",H367,0)</f>
        <v>0</v>
      </c>
      <c r="T367" s="11">
        <f aca="true" t="shared" si="29" ref="T367:T408">IF(AG367="7",G367,0)</f>
        <v>0</v>
      </c>
      <c r="U367" s="11">
        <f aca="true" t="shared" si="30" ref="U367:U408">IF(AG367="7",H367,0)</f>
        <v>0</v>
      </c>
      <c r="V367" s="11">
        <f aca="true" t="shared" si="31" ref="V367:V408">IF(AG367="2",G367,0)</f>
        <v>0</v>
      </c>
      <c r="W367" s="11">
        <f aca="true" t="shared" si="32" ref="W367:W408">IF(AG367="2",H367,0)</f>
        <v>0</v>
      </c>
      <c r="X367" s="11">
        <f aca="true" t="shared" si="33" ref="X367:X408">IF(AG367="0",I367,0)</f>
        <v>0</v>
      </c>
      <c r="Y367" s="6"/>
      <c r="Z367" s="4">
        <f aca="true" t="shared" si="34" ref="Z367:Z408">IF(AD367=0,I367,0)</f>
        <v>0</v>
      </c>
      <c r="AA367" s="4">
        <f aca="true" t="shared" si="35" ref="AA367:AA408">IF(AD367=15,I367,0)</f>
        <v>0</v>
      </c>
      <c r="AB367" s="4">
        <f aca="true" t="shared" si="36" ref="AB367:AB408">IF(AD367=21,I367,0)</f>
        <v>0</v>
      </c>
      <c r="AD367" s="11">
        <v>21</v>
      </c>
      <c r="AE367" s="11">
        <f aca="true" t="shared" si="37" ref="AE367:AE408">F367*0</f>
        <v>0</v>
      </c>
      <c r="AF367" s="11">
        <f aca="true" t="shared" si="38" ref="AF367:AF408">F367*(1-0)</f>
        <v>0</v>
      </c>
      <c r="AG367" s="7" t="s">
        <v>504</v>
      </c>
      <c r="AM367" s="11">
        <f aca="true" t="shared" si="39" ref="AM367:AM408">E367*AE367</f>
        <v>0</v>
      </c>
      <c r="AN367" s="11">
        <f aca="true" t="shared" si="40" ref="AN367:AN408">E367*AF367</f>
        <v>0</v>
      </c>
      <c r="AO367" s="12" t="s">
        <v>198</v>
      </c>
      <c r="AP367" s="12" t="s">
        <v>227</v>
      </c>
      <c r="AQ367" s="6" t="s">
        <v>234</v>
      </c>
      <c r="AS367" s="11">
        <f aca="true" t="shared" si="41" ref="AS367:AS408">AM367+AN367</f>
        <v>0</v>
      </c>
      <c r="AT367" s="11">
        <f aca="true" t="shared" si="42" ref="AT367:AT408">F367/(100-AU367)*100</f>
        <v>0</v>
      </c>
      <c r="AU367" s="11">
        <v>0</v>
      </c>
      <c r="AV367" s="11">
        <f aca="true" t="shared" si="43" ref="AV367:AV408">K367</f>
        <v>0.00047</v>
      </c>
    </row>
    <row r="368" spans="1:48" ht="12.75">
      <c r="A368" s="59" t="s">
        <v>659</v>
      </c>
      <c r="B368" s="59" t="s">
        <v>1034</v>
      </c>
      <c r="C368" s="59" t="s">
        <v>1580</v>
      </c>
      <c r="D368" s="59" t="s">
        <v>146</v>
      </c>
      <c r="E368" s="60">
        <v>99</v>
      </c>
      <c r="F368" s="61"/>
      <c r="G368" s="61">
        <f t="shared" si="22"/>
        <v>0</v>
      </c>
      <c r="H368" s="61">
        <f t="shared" si="23"/>
        <v>0</v>
      </c>
      <c r="I368" s="61">
        <f t="shared" si="24"/>
        <v>0</v>
      </c>
      <c r="J368" s="61">
        <v>0.00401</v>
      </c>
      <c r="K368" s="61">
        <f t="shared" si="25"/>
        <v>0.39698999999999995</v>
      </c>
      <c r="L368" s="62" t="s">
        <v>170</v>
      </c>
      <c r="M368" s="39"/>
      <c r="N368" s="39"/>
      <c r="P368" s="11">
        <f t="shared" si="26"/>
        <v>0</v>
      </c>
      <c r="R368" s="11">
        <f t="shared" si="27"/>
        <v>0</v>
      </c>
      <c r="S368" s="11">
        <f t="shared" si="28"/>
        <v>0</v>
      </c>
      <c r="T368" s="11">
        <f t="shared" si="29"/>
        <v>0</v>
      </c>
      <c r="U368" s="11">
        <f t="shared" si="30"/>
        <v>0</v>
      </c>
      <c r="V368" s="11">
        <f t="shared" si="31"/>
        <v>0</v>
      </c>
      <c r="W368" s="11">
        <f t="shared" si="32"/>
        <v>0</v>
      </c>
      <c r="X368" s="11">
        <f t="shared" si="33"/>
        <v>0</v>
      </c>
      <c r="Y368" s="6"/>
      <c r="Z368" s="4">
        <f t="shared" si="34"/>
        <v>0</v>
      </c>
      <c r="AA368" s="4">
        <f t="shared" si="35"/>
        <v>0</v>
      </c>
      <c r="AB368" s="4">
        <f t="shared" si="36"/>
        <v>0</v>
      </c>
      <c r="AD368" s="11">
        <v>21</v>
      </c>
      <c r="AE368" s="11">
        <f t="shared" si="37"/>
        <v>0</v>
      </c>
      <c r="AF368" s="11">
        <f t="shared" si="38"/>
        <v>0</v>
      </c>
      <c r="AG368" s="7" t="s">
        <v>504</v>
      </c>
      <c r="AM368" s="11">
        <f t="shared" si="39"/>
        <v>0</v>
      </c>
      <c r="AN368" s="11">
        <f t="shared" si="40"/>
        <v>0</v>
      </c>
      <c r="AO368" s="12" t="s">
        <v>198</v>
      </c>
      <c r="AP368" s="12" t="s">
        <v>227</v>
      </c>
      <c r="AQ368" s="6" t="s">
        <v>234</v>
      </c>
      <c r="AS368" s="11">
        <f t="shared" si="41"/>
        <v>0</v>
      </c>
      <c r="AT368" s="11">
        <f t="shared" si="42"/>
        <v>0</v>
      </c>
      <c r="AU368" s="11">
        <v>0</v>
      </c>
      <c r="AV368" s="11">
        <f t="shared" si="43"/>
        <v>0.39698999999999995</v>
      </c>
    </row>
    <row r="369" spans="1:48" ht="12.75">
      <c r="A369" s="59" t="s">
        <v>660</v>
      </c>
      <c r="B369" s="59" t="s">
        <v>1035</v>
      </c>
      <c r="C369" s="59" t="s">
        <v>1581</v>
      </c>
      <c r="D369" s="59" t="s">
        <v>146</v>
      </c>
      <c r="E369" s="60">
        <v>11</v>
      </c>
      <c r="F369" s="61"/>
      <c r="G369" s="61">
        <f t="shared" si="22"/>
        <v>0</v>
      </c>
      <c r="H369" s="61">
        <f t="shared" si="23"/>
        <v>0</v>
      </c>
      <c r="I369" s="61">
        <f t="shared" si="24"/>
        <v>0</v>
      </c>
      <c r="J369" s="61">
        <v>0.00522</v>
      </c>
      <c r="K369" s="61">
        <f t="shared" si="25"/>
        <v>0.05742</v>
      </c>
      <c r="L369" s="62" t="s">
        <v>170</v>
      </c>
      <c r="M369" s="39"/>
      <c r="N369" s="39"/>
      <c r="P369" s="11">
        <f t="shared" si="26"/>
        <v>0</v>
      </c>
      <c r="R369" s="11">
        <f t="shared" si="27"/>
        <v>0</v>
      </c>
      <c r="S369" s="11">
        <f t="shared" si="28"/>
        <v>0</v>
      </c>
      <c r="T369" s="11">
        <f t="shared" si="29"/>
        <v>0</v>
      </c>
      <c r="U369" s="11">
        <f t="shared" si="30"/>
        <v>0</v>
      </c>
      <c r="V369" s="11">
        <f t="shared" si="31"/>
        <v>0</v>
      </c>
      <c r="W369" s="11">
        <f t="shared" si="32"/>
        <v>0</v>
      </c>
      <c r="X369" s="11">
        <f t="shared" si="33"/>
        <v>0</v>
      </c>
      <c r="Y369" s="6"/>
      <c r="Z369" s="4">
        <f t="shared" si="34"/>
        <v>0</v>
      </c>
      <c r="AA369" s="4">
        <f t="shared" si="35"/>
        <v>0</v>
      </c>
      <c r="AB369" s="4">
        <f t="shared" si="36"/>
        <v>0</v>
      </c>
      <c r="AD369" s="11">
        <v>21</v>
      </c>
      <c r="AE369" s="11">
        <f t="shared" si="37"/>
        <v>0</v>
      </c>
      <c r="AF369" s="11">
        <f t="shared" si="38"/>
        <v>0</v>
      </c>
      <c r="AG369" s="7" t="s">
        <v>504</v>
      </c>
      <c r="AM369" s="11">
        <f t="shared" si="39"/>
        <v>0</v>
      </c>
      <c r="AN369" s="11">
        <f t="shared" si="40"/>
        <v>0</v>
      </c>
      <c r="AO369" s="12" t="s">
        <v>198</v>
      </c>
      <c r="AP369" s="12" t="s">
        <v>227</v>
      </c>
      <c r="AQ369" s="6" t="s">
        <v>234</v>
      </c>
      <c r="AS369" s="11">
        <f t="shared" si="41"/>
        <v>0</v>
      </c>
      <c r="AT369" s="11">
        <f t="shared" si="42"/>
        <v>0</v>
      </c>
      <c r="AU369" s="11">
        <v>0</v>
      </c>
      <c r="AV369" s="11">
        <f t="shared" si="43"/>
        <v>0.05742</v>
      </c>
    </row>
    <row r="370" spans="1:48" ht="12.75">
      <c r="A370" s="59" t="s">
        <v>661</v>
      </c>
      <c r="B370" s="59" t="s">
        <v>1036</v>
      </c>
      <c r="C370" s="59" t="s">
        <v>1582</v>
      </c>
      <c r="D370" s="59" t="s">
        <v>146</v>
      </c>
      <c r="E370" s="60">
        <v>5</v>
      </c>
      <c r="F370" s="61"/>
      <c r="G370" s="61">
        <f t="shared" si="22"/>
        <v>0</v>
      </c>
      <c r="H370" s="61">
        <f t="shared" si="23"/>
        <v>0</v>
      </c>
      <c r="I370" s="61">
        <f t="shared" si="24"/>
        <v>0</v>
      </c>
      <c r="J370" s="61">
        <v>0.00541</v>
      </c>
      <c r="K370" s="61">
        <f t="shared" si="25"/>
        <v>0.027049999999999998</v>
      </c>
      <c r="L370" s="62" t="s">
        <v>170</v>
      </c>
      <c r="M370" s="39"/>
      <c r="N370" s="39"/>
      <c r="P370" s="11">
        <f t="shared" si="26"/>
        <v>0</v>
      </c>
      <c r="R370" s="11">
        <f t="shared" si="27"/>
        <v>0</v>
      </c>
      <c r="S370" s="11">
        <f t="shared" si="28"/>
        <v>0</v>
      </c>
      <c r="T370" s="11">
        <f t="shared" si="29"/>
        <v>0</v>
      </c>
      <c r="U370" s="11">
        <f t="shared" si="30"/>
        <v>0</v>
      </c>
      <c r="V370" s="11">
        <f t="shared" si="31"/>
        <v>0</v>
      </c>
      <c r="W370" s="11">
        <f t="shared" si="32"/>
        <v>0</v>
      </c>
      <c r="X370" s="11">
        <f t="shared" si="33"/>
        <v>0</v>
      </c>
      <c r="Y370" s="6"/>
      <c r="Z370" s="4">
        <f t="shared" si="34"/>
        <v>0</v>
      </c>
      <c r="AA370" s="4">
        <f t="shared" si="35"/>
        <v>0</v>
      </c>
      <c r="AB370" s="4">
        <f t="shared" si="36"/>
        <v>0</v>
      </c>
      <c r="AD370" s="11">
        <v>21</v>
      </c>
      <c r="AE370" s="11">
        <f t="shared" si="37"/>
        <v>0</v>
      </c>
      <c r="AF370" s="11">
        <f t="shared" si="38"/>
        <v>0</v>
      </c>
      <c r="AG370" s="7" t="s">
        <v>504</v>
      </c>
      <c r="AM370" s="11">
        <f t="shared" si="39"/>
        <v>0</v>
      </c>
      <c r="AN370" s="11">
        <f t="shared" si="40"/>
        <v>0</v>
      </c>
      <c r="AO370" s="12" t="s">
        <v>198</v>
      </c>
      <c r="AP370" s="12" t="s">
        <v>227</v>
      </c>
      <c r="AQ370" s="6" t="s">
        <v>234</v>
      </c>
      <c r="AS370" s="11">
        <f t="shared" si="41"/>
        <v>0</v>
      </c>
      <c r="AT370" s="11">
        <f t="shared" si="42"/>
        <v>0</v>
      </c>
      <c r="AU370" s="11">
        <v>0</v>
      </c>
      <c r="AV370" s="11">
        <f t="shared" si="43"/>
        <v>0.027049999999999998</v>
      </c>
    </row>
    <row r="371" spans="1:48" ht="12.75">
      <c r="A371" s="59" t="s">
        <v>662</v>
      </c>
      <c r="B371" s="59" t="s">
        <v>1037</v>
      </c>
      <c r="C371" s="59" t="s">
        <v>1583</v>
      </c>
      <c r="D371" s="59" t="s">
        <v>144</v>
      </c>
      <c r="E371" s="60">
        <v>1</v>
      </c>
      <c r="F371" s="61"/>
      <c r="G371" s="61">
        <f t="shared" si="22"/>
        <v>0</v>
      </c>
      <c r="H371" s="61">
        <f t="shared" si="23"/>
        <v>0</v>
      </c>
      <c r="I371" s="61">
        <f t="shared" si="24"/>
        <v>0</v>
      </c>
      <c r="J371" s="61">
        <v>0</v>
      </c>
      <c r="K371" s="61">
        <f t="shared" si="25"/>
        <v>0</v>
      </c>
      <c r="L371" s="62" t="s">
        <v>170</v>
      </c>
      <c r="M371" s="39"/>
      <c r="N371" s="39"/>
      <c r="P371" s="11">
        <f t="shared" si="26"/>
        <v>0</v>
      </c>
      <c r="R371" s="11">
        <f t="shared" si="27"/>
        <v>0</v>
      </c>
      <c r="S371" s="11">
        <f t="shared" si="28"/>
        <v>0</v>
      </c>
      <c r="T371" s="11">
        <f t="shared" si="29"/>
        <v>0</v>
      </c>
      <c r="U371" s="11">
        <f t="shared" si="30"/>
        <v>0</v>
      </c>
      <c r="V371" s="11">
        <f t="shared" si="31"/>
        <v>0</v>
      </c>
      <c r="W371" s="11">
        <f t="shared" si="32"/>
        <v>0</v>
      </c>
      <c r="X371" s="11">
        <f t="shared" si="33"/>
        <v>0</v>
      </c>
      <c r="Y371" s="6"/>
      <c r="Z371" s="4">
        <f t="shared" si="34"/>
        <v>0</v>
      </c>
      <c r="AA371" s="4">
        <f t="shared" si="35"/>
        <v>0</v>
      </c>
      <c r="AB371" s="4">
        <f t="shared" si="36"/>
        <v>0</v>
      </c>
      <c r="AD371" s="11">
        <v>21</v>
      </c>
      <c r="AE371" s="11">
        <f t="shared" si="37"/>
        <v>0</v>
      </c>
      <c r="AF371" s="11">
        <f t="shared" si="38"/>
        <v>0</v>
      </c>
      <c r="AG371" s="7" t="s">
        <v>504</v>
      </c>
      <c r="AM371" s="11">
        <f t="shared" si="39"/>
        <v>0</v>
      </c>
      <c r="AN371" s="11">
        <f t="shared" si="40"/>
        <v>0</v>
      </c>
      <c r="AO371" s="12" t="s">
        <v>198</v>
      </c>
      <c r="AP371" s="12" t="s">
        <v>227</v>
      </c>
      <c r="AQ371" s="6" t="s">
        <v>234</v>
      </c>
      <c r="AS371" s="11">
        <f t="shared" si="41"/>
        <v>0</v>
      </c>
      <c r="AT371" s="11">
        <f t="shared" si="42"/>
        <v>0</v>
      </c>
      <c r="AU371" s="11">
        <v>0</v>
      </c>
      <c r="AV371" s="11">
        <f t="shared" si="43"/>
        <v>0</v>
      </c>
    </row>
    <row r="372" spans="1:48" ht="12.75">
      <c r="A372" s="59" t="s">
        <v>663</v>
      </c>
      <c r="B372" s="59" t="s">
        <v>1038</v>
      </c>
      <c r="C372" s="59" t="s">
        <v>1584</v>
      </c>
      <c r="D372" s="59" t="s">
        <v>146</v>
      </c>
      <c r="E372" s="60">
        <v>40</v>
      </c>
      <c r="F372" s="61"/>
      <c r="G372" s="61">
        <f t="shared" si="22"/>
        <v>0</v>
      </c>
      <c r="H372" s="61">
        <f t="shared" si="23"/>
        <v>0</v>
      </c>
      <c r="I372" s="61">
        <f t="shared" si="24"/>
        <v>0</v>
      </c>
      <c r="J372" s="61">
        <v>2E-05</v>
      </c>
      <c r="K372" s="61">
        <f t="shared" si="25"/>
        <v>0.0008</v>
      </c>
      <c r="L372" s="62" t="s">
        <v>170</v>
      </c>
      <c r="M372" s="39"/>
      <c r="N372" s="39"/>
      <c r="P372" s="11">
        <f t="shared" si="26"/>
        <v>0</v>
      </c>
      <c r="R372" s="11">
        <f t="shared" si="27"/>
        <v>0</v>
      </c>
      <c r="S372" s="11">
        <f t="shared" si="28"/>
        <v>0</v>
      </c>
      <c r="T372" s="11">
        <f t="shared" si="29"/>
        <v>0</v>
      </c>
      <c r="U372" s="11">
        <f t="shared" si="30"/>
        <v>0</v>
      </c>
      <c r="V372" s="11">
        <f t="shared" si="31"/>
        <v>0</v>
      </c>
      <c r="W372" s="11">
        <f t="shared" si="32"/>
        <v>0</v>
      </c>
      <c r="X372" s="11">
        <f t="shared" si="33"/>
        <v>0</v>
      </c>
      <c r="Y372" s="6"/>
      <c r="Z372" s="4">
        <f t="shared" si="34"/>
        <v>0</v>
      </c>
      <c r="AA372" s="4">
        <f t="shared" si="35"/>
        <v>0</v>
      </c>
      <c r="AB372" s="4">
        <f t="shared" si="36"/>
        <v>0</v>
      </c>
      <c r="AD372" s="11">
        <v>21</v>
      </c>
      <c r="AE372" s="11">
        <f t="shared" si="37"/>
        <v>0</v>
      </c>
      <c r="AF372" s="11">
        <f t="shared" si="38"/>
        <v>0</v>
      </c>
      <c r="AG372" s="7" t="s">
        <v>504</v>
      </c>
      <c r="AM372" s="11">
        <f t="shared" si="39"/>
        <v>0</v>
      </c>
      <c r="AN372" s="11">
        <f t="shared" si="40"/>
        <v>0</v>
      </c>
      <c r="AO372" s="12" t="s">
        <v>198</v>
      </c>
      <c r="AP372" s="12" t="s">
        <v>227</v>
      </c>
      <c r="AQ372" s="6" t="s">
        <v>234</v>
      </c>
      <c r="AS372" s="11">
        <f t="shared" si="41"/>
        <v>0</v>
      </c>
      <c r="AT372" s="11">
        <f t="shared" si="42"/>
        <v>0</v>
      </c>
      <c r="AU372" s="11">
        <v>0</v>
      </c>
      <c r="AV372" s="11">
        <f t="shared" si="43"/>
        <v>0.0008</v>
      </c>
    </row>
    <row r="373" spans="1:48" ht="12.75">
      <c r="A373" s="59" t="s">
        <v>664</v>
      </c>
      <c r="B373" s="59" t="s">
        <v>1039</v>
      </c>
      <c r="C373" s="59" t="s">
        <v>1585</v>
      </c>
      <c r="D373" s="59" t="s">
        <v>146</v>
      </c>
      <c r="E373" s="60">
        <v>6</v>
      </c>
      <c r="F373" s="61"/>
      <c r="G373" s="61">
        <f t="shared" si="22"/>
        <v>0</v>
      </c>
      <c r="H373" s="61">
        <f t="shared" si="23"/>
        <v>0</v>
      </c>
      <c r="I373" s="61">
        <f t="shared" si="24"/>
        <v>0</v>
      </c>
      <c r="J373" s="61">
        <v>6E-05</v>
      </c>
      <c r="K373" s="61">
        <f t="shared" si="25"/>
        <v>0.00036</v>
      </c>
      <c r="L373" s="62" t="s">
        <v>170</v>
      </c>
      <c r="M373" s="39"/>
      <c r="N373" s="39"/>
      <c r="P373" s="11">
        <f t="shared" si="26"/>
        <v>0</v>
      </c>
      <c r="R373" s="11">
        <f t="shared" si="27"/>
        <v>0</v>
      </c>
      <c r="S373" s="11">
        <f t="shared" si="28"/>
        <v>0</v>
      </c>
      <c r="T373" s="11">
        <f t="shared" si="29"/>
        <v>0</v>
      </c>
      <c r="U373" s="11">
        <f t="shared" si="30"/>
        <v>0</v>
      </c>
      <c r="V373" s="11">
        <f t="shared" si="31"/>
        <v>0</v>
      </c>
      <c r="W373" s="11">
        <f t="shared" si="32"/>
        <v>0</v>
      </c>
      <c r="X373" s="11">
        <f t="shared" si="33"/>
        <v>0</v>
      </c>
      <c r="Y373" s="6"/>
      <c r="Z373" s="4">
        <f t="shared" si="34"/>
        <v>0</v>
      </c>
      <c r="AA373" s="4">
        <f t="shared" si="35"/>
        <v>0</v>
      </c>
      <c r="AB373" s="4">
        <f t="shared" si="36"/>
        <v>0</v>
      </c>
      <c r="AD373" s="11">
        <v>21</v>
      </c>
      <c r="AE373" s="11">
        <f t="shared" si="37"/>
        <v>0</v>
      </c>
      <c r="AF373" s="11">
        <f t="shared" si="38"/>
        <v>0</v>
      </c>
      <c r="AG373" s="7" t="s">
        <v>504</v>
      </c>
      <c r="AM373" s="11">
        <f t="shared" si="39"/>
        <v>0</v>
      </c>
      <c r="AN373" s="11">
        <f t="shared" si="40"/>
        <v>0</v>
      </c>
      <c r="AO373" s="12" t="s">
        <v>198</v>
      </c>
      <c r="AP373" s="12" t="s">
        <v>227</v>
      </c>
      <c r="AQ373" s="6" t="s">
        <v>234</v>
      </c>
      <c r="AS373" s="11">
        <f t="shared" si="41"/>
        <v>0</v>
      </c>
      <c r="AT373" s="11">
        <f t="shared" si="42"/>
        <v>0</v>
      </c>
      <c r="AU373" s="11">
        <v>0</v>
      </c>
      <c r="AV373" s="11">
        <f t="shared" si="43"/>
        <v>0.00036</v>
      </c>
    </row>
    <row r="374" spans="1:48" ht="12.75">
      <c r="A374" s="59" t="s">
        <v>665</v>
      </c>
      <c r="B374" s="59" t="s">
        <v>1040</v>
      </c>
      <c r="C374" s="59" t="s">
        <v>1586</v>
      </c>
      <c r="D374" s="59" t="s">
        <v>146</v>
      </c>
      <c r="E374" s="60">
        <v>19</v>
      </c>
      <c r="F374" s="61"/>
      <c r="G374" s="61">
        <f t="shared" si="22"/>
        <v>0</v>
      </c>
      <c r="H374" s="61">
        <f t="shared" si="23"/>
        <v>0</v>
      </c>
      <c r="I374" s="61">
        <f t="shared" si="24"/>
        <v>0</v>
      </c>
      <c r="J374" s="61">
        <v>5E-05</v>
      </c>
      <c r="K374" s="61">
        <f t="shared" si="25"/>
        <v>0.00095</v>
      </c>
      <c r="L374" s="62" t="s">
        <v>170</v>
      </c>
      <c r="M374" s="39"/>
      <c r="N374" s="39"/>
      <c r="P374" s="11">
        <f t="shared" si="26"/>
        <v>0</v>
      </c>
      <c r="R374" s="11">
        <f t="shared" si="27"/>
        <v>0</v>
      </c>
      <c r="S374" s="11">
        <f t="shared" si="28"/>
        <v>0</v>
      </c>
      <c r="T374" s="11">
        <f t="shared" si="29"/>
        <v>0</v>
      </c>
      <c r="U374" s="11">
        <f t="shared" si="30"/>
        <v>0</v>
      </c>
      <c r="V374" s="11">
        <f t="shared" si="31"/>
        <v>0</v>
      </c>
      <c r="W374" s="11">
        <f t="shared" si="32"/>
        <v>0</v>
      </c>
      <c r="X374" s="11">
        <f t="shared" si="33"/>
        <v>0</v>
      </c>
      <c r="Y374" s="6"/>
      <c r="Z374" s="4">
        <f t="shared" si="34"/>
        <v>0</v>
      </c>
      <c r="AA374" s="4">
        <f t="shared" si="35"/>
        <v>0</v>
      </c>
      <c r="AB374" s="4">
        <f t="shared" si="36"/>
        <v>0</v>
      </c>
      <c r="AD374" s="11">
        <v>21</v>
      </c>
      <c r="AE374" s="11">
        <f t="shared" si="37"/>
        <v>0</v>
      </c>
      <c r="AF374" s="11">
        <f t="shared" si="38"/>
        <v>0</v>
      </c>
      <c r="AG374" s="7" t="s">
        <v>504</v>
      </c>
      <c r="AM374" s="11">
        <f t="shared" si="39"/>
        <v>0</v>
      </c>
      <c r="AN374" s="11">
        <f t="shared" si="40"/>
        <v>0</v>
      </c>
      <c r="AO374" s="12" t="s">
        <v>198</v>
      </c>
      <c r="AP374" s="12" t="s">
        <v>227</v>
      </c>
      <c r="AQ374" s="6" t="s">
        <v>234</v>
      </c>
      <c r="AS374" s="11">
        <f t="shared" si="41"/>
        <v>0</v>
      </c>
      <c r="AT374" s="11">
        <f t="shared" si="42"/>
        <v>0</v>
      </c>
      <c r="AU374" s="11">
        <v>0</v>
      </c>
      <c r="AV374" s="11">
        <f t="shared" si="43"/>
        <v>0.00095</v>
      </c>
    </row>
    <row r="375" spans="1:48" ht="12.75">
      <c r="A375" s="59" t="s">
        <v>666</v>
      </c>
      <c r="B375" s="59" t="s">
        <v>1041</v>
      </c>
      <c r="C375" s="59" t="s">
        <v>1587</v>
      </c>
      <c r="D375" s="59" t="s">
        <v>146</v>
      </c>
      <c r="E375" s="60">
        <v>60</v>
      </c>
      <c r="F375" s="61"/>
      <c r="G375" s="61">
        <f t="shared" si="22"/>
        <v>0</v>
      </c>
      <c r="H375" s="61">
        <f t="shared" si="23"/>
        <v>0</v>
      </c>
      <c r="I375" s="61">
        <f t="shared" si="24"/>
        <v>0</v>
      </c>
      <c r="J375" s="61">
        <v>7E-05</v>
      </c>
      <c r="K375" s="61">
        <f t="shared" si="25"/>
        <v>0.0042</v>
      </c>
      <c r="L375" s="62" t="s">
        <v>170</v>
      </c>
      <c r="M375" s="39"/>
      <c r="N375" s="39"/>
      <c r="P375" s="11">
        <f t="shared" si="26"/>
        <v>0</v>
      </c>
      <c r="R375" s="11">
        <f t="shared" si="27"/>
        <v>0</v>
      </c>
      <c r="S375" s="11">
        <f t="shared" si="28"/>
        <v>0</v>
      </c>
      <c r="T375" s="11">
        <f t="shared" si="29"/>
        <v>0</v>
      </c>
      <c r="U375" s="11">
        <f t="shared" si="30"/>
        <v>0</v>
      </c>
      <c r="V375" s="11">
        <f t="shared" si="31"/>
        <v>0</v>
      </c>
      <c r="W375" s="11">
        <f t="shared" si="32"/>
        <v>0</v>
      </c>
      <c r="X375" s="11">
        <f t="shared" si="33"/>
        <v>0</v>
      </c>
      <c r="Y375" s="6"/>
      <c r="Z375" s="4">
        <f t="shared" si="34"/>
        <v>0</v>
      </c>
      <c r="AA375" s="4">
        <f t="shared" si="35"/>
        <v>0</v>
      </c>
      <c r="AB375" s="4">
        <f t="shared" si="36"/>
        <v>0</v>
      </c>
      <c r="AD375" s="11">
        <v>21</v>
      </c>
      <c r="AE375" s="11">
        <f t="shared" si="37"/>
        <v>0</v>
      </c>
      <c r="AF375" s="11">
        <f t="shared" si="38"/>
        <v>0</v>
      </c>
      <c r="AG375" s="7" t="s">
        <v>504</v>
      </c>
      <c r="AM375" s="11">
        <f t="shared" si="39"/>
        <v>0</v>
      </c>
      <c r="AN375" s="11">
        <f t="shared" si="40"/>
        <v>0</v>
      </c>
      <c r="AO375" s="12" t="s">
        <v>198</v>
      </c>
      <c r="AP375" s="12" t="s">
        <v>227</v>
      </c>
      <c r="AQ375" s="6" t="s">
        <v>234</v>
      </c>
      <c r="AS375" s="11">
        <f t="shared" si="41"/>
        <v>0</v>
      </c>
      <c r="AT375" s="11">
        <f t="shared" si="42"/>
        <v>0</v>
      </c>
      <c r="AU375" s="11">
        <v>0</v>
      </c>
      <c r="AV375" s="11">
        <f t="shared" si="43"/>
        <v>0.0042</v>
      </c>
    </row>
    <row r="376" spans="1:48" ht="12.75">
      <c r="A376" s="59" t="s">
        <v>667</v>
      </c>
      <c r="B376" s="59" t="s">
        <v>1042</v>
      </c>
      <c r="C376" s="59" t="s">
        <v>1588</v>
      </c>
      <c r="D376" s="59" t="s">
        <v>146</v>
      </c>
      <c r="E376" s="60">
        <v>19</v>
      </c>
      <c r="F376" s="61"/>
      <c r="G376" s="61">
        <f t="shared" si="22"/>
        <v>0</v>
      </c>
      <c r="H376" s="61">
        <f t="shared" si="23"/>
        <v>0</v>
      </c>
      <c r="I376" s="61">
        <f t="shared" si="24"/>
        <v>0</v>
      </c>
      <c r="J376" s="61">
        <v>8E-05</v>
      </c>
      <c r="K376" s="61">
        <f t="shared" si="25"/>
        <v>0.00152</v>
      </c>
      <c r="L376" s="62" t="s">
        <v>170</v>
      </c>
      <c r="M376" s="39"/>
      <c r="N376" s="39"/>
      <c r="P376" s="11">
        <f t="shared" si="26"/>
        <v>0</v>
      </c>
      <c r="R376" s="11">
        <f t="shared" si="27"/>
        <v>0</v>
      </c>
      <c r="S376" s="11">
        <f t="shared" si="28"/>
        <v>0</v>
      </c>
      <c r="T376" s="11">
        <f t="shared" si="29"/>
        <v>0</v>
      </c>
      <c r="U376" s="11">
        <f t="shared" si="30"/>
        <v>0</v>
      </c>
      <c r="V376" s="11">
        <f t="shared" si="31"/>
        <v>0</v>
      </c>
      <c r="W376" s="11">
        <f t="shared" si="32"/>
        <v>0</v>
      </c>
      <c r="X376" s="11">
        <f t="shared" si="33"/>
        <v>0</v>
      </c>
      <c r="Y376" s="6"/>
      <c r="Z376" s="4">
        <f t="shared" si="34"/>
        <v>0</v>
      </c>
      <c r="AA376" s="4">
        <f t="shared" si="35"/>
        <v>0</v>
      </c>
      <c r="AB376" s="4">
        <f t="shared" si="36"/>
        <v>0</v>
      </c>
      <c r="AD376" s="11">
        <v>21</v>
      </c>
      <c r="AE376" s="11">
        <f t="shared" si="37"/>
        <v>0</v>
      </c>
      <c r="AF376" s="11">
        <f t="shared" si="38"/>
        <v>0</v>
      </c>
      <c r="AG376" s="7" t="s">
        <v>504</v>
      </c>
      <c r="AM376" s="11">
        <f t="shared" si="39"/>
        <v>0</v>
      </c>
      <c r="AN376" s="11">
        <f t="shared" si="40"/>
        <v>0</v>
      </c>
      <c r="AO376" s="12" t="s">
        <v>198</v>
      </c>
      <c r="AP376" s="12" t="s">
        <v>227</v>
      </c>
      <c r="AQ376" s="6" t="s">
        <v>234</v>
      </c>
      <c r="AS376" s="11">
        <f t="shared" si="41"/>
        <v>0</v>
      </c>
      <c r="AT376" s="11">
        <f t="shared" si="42"/>
        <v>0</v>
      </c>
      <c r="AU376" s="11">
        <v>0</v>
      </c>
      <c r="AV376" s="11">
        <f t="shared" si="43"/>
        <v>0.00152</v>
      </c>
    </row>
    <row r="377" spans="1:48" ht="12.75">
      <c r="A377" s="59" t="s">
        <v>668</v>
      </c>
      <c r="B377" s="59" t="s">
        <v>1043</v>
      </c>
      <c r="C377" s="59" t="s">
        <v>1589</v>
      </c>
      <c r="D377" s="59" t="s">
        <v>144</v>
      </c>
      <c r="E377" s="60">
        <v>22</v>
      </c>
      <c r="F377" s="61"/>
      <c r="G377" s="61">
        <f t="shared" si="22"/>
        <v>0</v>
      </c>
      <c r="H377" s="61">
        <f t="shared" si="23"/>
        <v>0</v>
      </c>
      <c r="I377" s="61">
        <f t="shared" si="24"/>
        <v>0</v>
      </c>
      <c r="J377" s="61">
        <v>0</v>
      </c>
      <c r="K377" s="61">
        <f t="shared" si="25"/>
        <v>0</v>
      </c>
      <c r="L377" s="62" t="s">
        <v>170</v>
      </c>
      <c r="M377" s="39"/>
      <c r="N377" s="39"/>
      <c r="P377" s="11">
        <f t="shared" si="26"/>
        <v>0</v>
      </c>
      <c r="R377" s="11">
        <f t="shared" si="27"/>
        <v>0</v>
      </c>
      <c r="S377" s="11">
        <f t="shared" si="28"/>
        <v>0</v>
      </c>
      <c r="T377" s="11">
        <f t="shared" si="29"/>
        <v>0</v>
      </c>
      <c r="U377" s="11">
        <f t="shared" si="30"/>
        <v>0</v>
      </c>
      <c r="V377" s="11">
        <f t="shared" si="31"/>
        <v>0</v>
      </c>
      <c r="W377" s="11">
        <f t="shared" si="32"/>
        <v>0</v>
      </c>
      <c r="X377" s="11">
        <f t="shared" si="33"/>
        <v>0</v>
      </c>
      <c r="Y377" s="6"/>
      <c r="Z377" s="4">
        <f t="shared" si="34"/>
        <v>0</v>
      </c>
      <c r="AA377" s="4">
        <f t="shared" si="35"/>
        <v>0</v>
      </c>
      <c r="AB377" s="4">
        <f t="shared" si="36"/>
        <v>0</v>
      </c>
      <c r="AD377" s="11">
        <v>21</v>
      </c>
      <c r="AE377" s="11">
        <f t="shared" si="37"/>
        <v>0</v>
      </c>
      <c r="AF377" s="11">
        <f t="shared" si="38"/>
        <v>0</v>
      </c>
      <c r="AG377" s="7" t="s">
        <v>504</v>
      </c>
      <c r="AM377" s="11">
        <f t="shared" si="39"/>
        <v>0</v>
      </c>
      <c r="AN377" s="11">
        <f t="shared" si="40"/>
        <v>0</v>
      </c>
      <c r="AO377" s="12" t="s">
        <v>198</v>
      </c>
      <c r="AP377" s="12" t="s">
        <v>227</v>
      </c>
      <c r="AQ377" s="6" t="s">
        <v>234</v>
      </c>
      <c r="AS377" s="11">
        <f t="shared" si="41"/>
        <v>0</v>
      </c>
      <c r="AT377" s="11">
        <f t="shared" si="42"/>
        <v>0</v>
      </c>
      <c r="AU377" s="11">
        <v>0</v>
      </c>
      <c r="AV377" s="11">
        <f t="shared" si="43"/>
        <v>0</v>
      </c>
    </row>
    <row r="378" spans="1:48" ht="12.75">
      <c r="A378" s="59" t="s">
        <v>669</v>
      </c>
      <c r="B378" s="59" t="s">
        <v>1044</v>
      </c>
      <c r="C378" s="59" t="s">
        <v>1590</v>
      </c>
      <c r="D378" s="59" t="s">
        <v>144</v>
      </c>
      <c r="E378" s="60">
        <v>3</v>
      </c>
      <c r="F378" s="61"/>
      <c r="G378" s="61">
        <f t="shared" si="22"/>
        <v>0</v>
      </c>
      <c r="H378" s="61">
        <f t="shared" si="23"/>
        <v>0</v>
      </c>
      <c r="I378" s="61">
        <f t="shared" si="24"/>
        <v>0</v>
      </c>
      <c r="J378" s="61">
        <v>0</v>
      </c>
      <c r="K378" s="61">
        <f t="shared" si="25"/>
        <v>0</v>
      </c>
      <c r="L378" s="62" t="s">
        <v>170</v>
      </c>
      <c r="M378" s="39"/>
      <c r="N378" s="39"/>
      <c r="P378" s="11">
        <f t="shared" si="26"/>
        <v>0</v>
      </c>
      <c r="R378" s="11">
        <f t="shared" si="27"/>
        <v>0</v>
      </c>
      <c r="S378" s="11">
        <f t="shared" si="28"/>
        <v>0</v>
      </c>
      <c r="T378" s="11">
        <f t="shared" si="29"/>
        <v>0</v>
      </c>
      <c r="U378" s="11">
        <f t="shared" si="30"/>
        <v>0</v>
      </c>
      <c r="V378" s="11">
        <f t="shared" si="31"/>
        <v>0</v>
      </c>
      <c r="W378" s="11">
        <f t="shared" si="32"/>
        <v>0</v>
      </c>
      <c r="X378" s="11">
        <f t="shared" si="33"/>
        <v>0</v>
      </c>
      <c r="Y378" s="6"/>
      <c r="Z378" s="4">
        <f t="shared" si="34"/>
        <v>0</v>
      </c>
      <c r="AA378" s="4">
        <f t="shared" si="35"/>
        <v>0</v>
      </c>
      <c r="AB378" s="4">
        <f t="shared" si="36"/>
        <v>0</v>
      </c>
      <c r="AD378" s="11">
        <v>21</v>
      </c>
      <c r="AE378" s="11">
        <f t="shared" si="37"/>
        <v>0</v>
      </c>
      <c r="AF378" s="11">
        <f t="shared" si="38"/>
        <v>0</v>
      </c>
      <c r="AG378" s="7" t="s">
        <v>504</v>
      </c>
      <c r="AM378" s="11">
        <f t="shared" si="39"/>
        <v>0</v>
      </c>
      <c r="AN378" s="11">
        <f t="shared" si="40"/>
        <v>0</v>
      </c>
      <c r="AO378" s="12" t="s">
        <v>198</v>
      </c>
      <c r="AP378" s="12" t="s">
        <v>227</v>
      </c>
      <c r="AQ378" s="6" t="s">
        <v>234</v>
      </c>
      <c r="AS378" s="11">
        <f t="shared" si="41"/>
        <v>0</v>
      </c>
      <c r="AT378" s="11">
        <f t="shared" si="42"/>
        <v>0</v>
      </c>
      <c r="AU378" s="11">
        <v>0</v>
      </c>
      <c r="AV378" s="11">
        <f t="shared" si="43"/>
        <v>0</v>
      </c>
    </row>
    <row r="379" spans="1:48" ht="12.75">
      <c r="A379" s="59" t="s">
        <v>670</v>
      </c>
      <c r="B379" s="59" t="s">
        <v>1045</v>
      </c>
      <c r="C379" s="59" t="s">
        <v>1591</v>
      </c>
      <c r="D379" s="59" t="s">
        <v>146</v>
      </c>
      <c r="E379" s="60">
        <v>19</v>
      </c>
      <c r="F379" s="61"/>
      <c r="G379" s="61">
        <f t="shared" si="22"/>
        <v>0</v>
      </c>
      <c r="H379" s="61">
        <f t="shared" si="23"/>
        <v>0</v>
      </c>
      <c r="I379" s="61">
        <f t="shared" si="24"/>
        <v>0</v>
      </c>
      <c r="J379" s="61">
        <v>0.01387</v>
      </c>
      <c r="K379" s="61">
        <f t="shared" si="25"/>
        <v>0.26353</v>
      </c>
      <c r="L379" s="62" t="s">
        <v>170</v>
      </c>
      <c r="M379" s="39"/>
      <c r="N379" s="39"/>
      <c r="P379" s="11">
        <f t="shared" si="26"/>
        <v>0</v>
      </c>
      <c r="R379" s="11">
        <f t="shared" si="27"/>
        <v>0</v>
      </c>
      <c r="S379" s="11">
        <f t="shared" si="28"/>
        <v>0</v>
      </c>
      <c r="T379" s="11">
        <f t="shared" si="29"/>
        <v>0</v>
      </c>
      <c r="U379" s="11">
        <f t="shared" si="30"/>
        <v>0</v>
      </c>
      <c r="V379" s="11">
        <f t="shared" si="31"/>
        <v>0</v>
      </c>
      <c r="W379" s="11">
        <f t="shared" si="32"/>
        <v>0</v>
      </c>
      <c r="X379" s="11">
        <f t="shared" si="33"/>
        <v>0</v>
      </c>
      <c r="Y379" s="6"/>
      <c r="Z379" s="4">
        <f t="shared" si="34"/>
        <v>0</v>
      </c>
      <c r="AA379" s="4">
        <f t="shared" si="35"/>
        <v>0</v>
      </c>
      <c r="AB379" s="4">
        <f t="shared" si="36"/>
        <v>0</v>
      </c>
      <c r="AD379" s="11">
        <v>21</v>
      </c>
      <c r="AE379" s="11">
        <f t="shared" si="37"/>
        <v>0</v>
      </c>
      <c r="AF379" s="11">
        <f t="shared" si="38"/>
        <v>0</v>
      </c>
      <c r="AG379" s="7" t="s">
        <v>504</v>
      </c>
      <c r="AM379" s="11">
        <f t="shared" si="39"/>
        <v>0</v>
      </c>
      <c r="AN379" s="11">
        <f t="shared" si="40"/>
        <v>0</v>
      </c>
      <c r="AO379" s="12" t="s">
        <v>198</v>
      </c>
      <c r="AP379" s="12" t="s">
        <v>227</v>
      </c>
      <c r="AQ379" s="6" t="s">
        <v>234</v>
      </c>
      <c r="AS379" s="11">
        <f t="shared" si="41"/>
        <v>0</v>
      </c>
      <c r="AT379" s="11">
        <f t="shared" si="42"/>
        <v>0</v>
      </c>
      <c r="AU379" s="11">
        <v>0</v>
      </c>
      <c r="AV379" s="11">
        <f t="shared" si="43"/>
        <v>0.26353</v>
      </c>
    </row>
    <row r="380" spans="1:48" ht="12.75">
      <c r="A380" s="59" t="s">
        <v>671</v>
      </c>
      <c r="B380" s="59" t="s">
        <v>1046</v>
      </c>
      <c r="C380" s="59" t="s">
        <v>1592</v>
      </c>
      <c r="D380" s="59" t="s">
        <v>144</v>
      </c>
      <c r="E380" s="60">
        <v>4</v>
      </c>
      <c r="F380" s="61"/>
      <c r="G380" s="61">
        <f t="shared" si="22"/>
        <v>0</v>
      </c>
      <c r="H380" s="61">
        <f t="shared" si="23"/>
        <v>0</v>
      </c>
      <c r="I380" s="61">
        <f t="shared" si="24"/>
        <v>0</v>
      </c>
      <c r="J380" s="61">
        <v>0.00026</v>
      </c>
      <c r="K380" s="61">
        <f t="shared" si="25"/>
        <v>0.00104</v>
      </c>
      <c r="L380" s="62" t="s">
        <v>170</v>
      </c>
      <c r="M380" s="39"/>
      <c r="N380" s="39"/>
      <c r="P380" s="11">
        <f t="shared" si="26"/>
        <v>0</v>
      </c>
      <c r="R380" s="11">
        <f t="shared" si="27"/>
        <v>0</v>
      </c>
      <c r="S380" s="11">
        <f t="shared" si="28"/>
        <v>0</v>
      </c>
      <c r="T380" s="11">
        <f t="shared" si="29"/>
        <v>0</v>
      </c>
      <c r="U380" s="11">
        <f t="shared" si="30"/>
        <v>0</v>
      </c>
      <c r="V380" s="11">
        <f t="shared" si="31"/>
        <v>0</v>
      </c>
      <c r="W380" s="11">
        <f t="shared" si="32"/>
        <v>0</v>
      </c>
      <c r="X380" s="11">
        <f t="shared" si="33"/>
        <v>0</v>
      </c>
      <c r="Y380" s="6"/>
      <c r="Z380" s="4">
        <f t="shared" si="34"/>
        <v>0</v>
      </c>
      <c r="AA380" s="4">
        <f t="shared" si="35"/>
        <v>0</v>
      </c>
      <c r="AB380" s="4">
        <f t="shared" si="36"/>
        <v>0</v>
      </c>
      <c r="AD380" s="11">
        <v>21</v>
      </c>
      <c r="AE380" s="11">
        <f t="shared" si="37"/>
        <v>0</v>
      </c>
      <c r="AF380" s="11">
        <f t="shared" si="38"/>
        <v>0</v>
      </c>
      <c r="AG380" s="7" t="s">
        <v>504</v>
      </c>
      <c r="AM380" s="11">
        <f t="shared" si="39"/>
        <v>0</v>
      </c>
      <c r="AN380" s="11">
        <f t="shared" si="40"/>
        <v>0</v>
      </c>
      <c r="AO380" s="12" t="s">
        <v>198</v>
      </c>
      <c r="AP380" s="12" t="s">
        <v>227</v>
      </c>
      <c r="AQ380" s="6" t="s">
        <v>234</v>
      </c>
      <c r="AS380" s="11">
        <f t="shared" si="41"/>
        <v>0</v>
      </c>
      <c r="AT380" s="11">
        <f t="shared" si="42"/>
        <v>0</v>
      </c>
      <c r="AU380" s="11">
        <v>0</v>
      </c>
      <c r="AV380" s="11">
        <f t="shared" si="43"/>
        <v>0.00104</v>
      </c>
    </row>
    <row r="381" spans="1:48" ht="12.75">
      <c r="A381" s="59" t="s">
        <v>672</v>
      </c>
      <c r="B381" s="59" t="s">
        <v>1047</v>
      </c>
      <c r="C381" s="59" t="s">
        <v>1593</v>
      </c>
      <c r="D381" s="59" t="s">
        <v>144</v>
      </c>
      <c r="E381" s="60">
        <v>2</v>
      </c>
      <c r="F381" s="61"/>
      <c r="G381" s="61">
        <f t="shared" si="22"/>
        <v>0</v>
      </c>
      <c r="H381" s="61">
        <f t="shared" si="23"/>
        <v>0</v>
      </c>
      <c r="I381" s="61">
        <f t="shared" si="24"/>
        <v>0</v>
      </c>
      <c r="J381" s="61">
        <v>0.00039</v>
      </c>
      <c r="K381" s="61">
        <f t="shared" si="25"/>
        <v>0.00078</v>
      </c>
      <c r="L381" s="62" t="s">
        <v>170</v>
      </c>
      <c r="M381" s="39"/>
      <c r="N381" s="39"/>
      <c r="P381" s="11">
        <f t="shared" si="26"/>
        <v>0</v>
      </c>
      <c r="R381" s="11">
        <f t="shared" si="27"/>
        <v>0</v>
      </c>
      <c r="S381" s="11">
        <f t="shared" si="28"/>
        <v>0</v>
      </c>
      <c r="T381" s="11">
        <f t="shared" si="29"/>
        <v>0</v>
      </c>
      <c r="U381" s="11">
        <f t="shared" si="30"/>
        <v>0</v>
      </c>
      <c r="V381" s="11">
        <f t="shared" si="31"/>
        <v>0</v>
      </c>
      <c r="W381" s="11">
        <f t="shared" si="32"/>
        <v>0</v>
      </c>
      <c r="X381" s="11">
        <f t="shared" si="33"/>
        <v>0</v>
      </c>
      <c r="Y381" s="6"/>
      <c r="Z381" s="4">
        <f t="shared" si="34"/>
        <v>0</v>
      </c>
      <c r="AA381" s="4">
        <f t="shared" si="35"/>
        <v>0</v>
      </c>
      <c r="AB381" s="4">
        <f t="shared" si="36"/>
        <v>0</v>
      </c>
      <c r="AD381" s="11">
        <v>21</v>
      </c>
      <c r="AE381" s="11">
        <f t="shared" si="37"/>
        <v>0</v>
      </c>
      <c r="AF381" s="11">
        <f t="shared" si="38"/>
        <v>0</v>
      </c>
      <c r="AG381" s="7" t="s">
        <v>504</v>
      </c>
      <c r="AM381" s="11">
        <f t="shared" si="39"/>
        <v>0</v>
      </c>
      <c r="AN381" s="11">
        <f t="shared" si="40"/>
        <v>0</v>
      </c>
      <c r="AO381" s="12" t="s">
        <v>198</v>
      </c>
      <c r="AP381" s="12" t="s">
        <v>227</v>
      </c>
      <c r="AQ381" s="6" t="s">
        <v>234</v>
      </c>
      <c r="AS381" s="11">
        <f t="shared" si="41"/>
        <v>0</v>
      </c>
      <c r="AT381" s="11">
        <f t="shared" si="42"/>
        <v>0</v>
      </c>
      <c r="AU381" s="11">
        <v>0</v>
      </c>
      <c r="AV381" s="11">
        <f t="shared" si="43"/>
        <v>0.00078</v>
      </c>
    </row>
    <row r="382" spans="1:48" ht="12.75">
      <c r="A382" s="59" t="s">
        <v>673</v>
      </c>
      <c r="B382" s="59" t="s">
        <v>1048</v>
      </c>
      <c r="C382" s="59" t="s">
        <v>1594</v>
      </c>
      <c r="D382" s="59" t="s">
        <v>144</v>
      </c>
      <c r="E382" s="60">
        <v>2</v>
      </c>
      <c r="F382" s="61"/>
      <c r="G382" s="61">
        <f t="shared" si="22"/>
        <v>0</v>
      </c>
      <c r="H382" s="61">
        <f t="shared" si="23"/>
        <v>0</v>
      </c>
      <c r="I382" s="61">
        <f t="shared" si="24"/>
        <v>0</v>
      </c>
      <c r="J382" s="61">
        <v>0.0008</v>
      </c>
      <c r="K382" s="61">
        <f t="shared" si="25"/>
        <v>0.0016</v>
      </c>
      <c r="L382" s="62" t="s">
        <v>170</v>
      </c>
      <c r="M382" s="39"/>
      <c r="N382" s="39"/>
      <c r="P382" s="11">
        <f t="shared" si="26"/>
        <v>0</v>
      </c>
      <c r="R382" s="11">
        <f t="shared" si="27"/>
        <v>0</v>
      </c>
      <c r="S382" s="11">
        <f t="shared" si="28"/>
        <v>0</v>
      </c>
      <c r="T382" s="11">
        <f t="shared" si="29"/>
        <v>0</v>
      </c>
      <c r="U382" s="11">
        <f t="shared" si="30"/>
        <v>0</v>
      </c>
      <c r="V382" s="11">
        <f t="shared" si="31"/>
        <v>0</v>
      </c>
      <c r="W382" s="11">
        <f t="shared" si="32"/>
        <v>0</v>
      </c>
      <c r="X382" s="11">
        <f t="shared" si="33"/>
        <v>0</v>
      </c>
      <c r="Y382" s="6"/>
      <c r="Z382" s="4">
        <f t="shared" si="34"/>
        <v>0</v>
      </c>
      <c r="AA382" s="4">
        <f t="shared" si="35"/>
        <v>0</v>
      </c>
      <c r="AB382" s="4">
        <f t="shared" si="36"/>
        <v>0</v>
      </c>
      <c r="AD382" s="11">
        <v>21</v>
      </c>
      <c r="AE382" s="11">
        <f t="shared" si="37"/>
        <v>0</v>
      </c>
      <c r="AF382" s="11">
        <f t="shared" si="38"/>
        <v>0</v>
      </c>
      <c r="AG382" s="7" t="s">
        <v>504</v>
      </c>
      <c r="AM382" s="11">
        <f t="shared" si="39"/>
        <v>0</v>
      </c>
      <c r="AN382" s="11">
        <f t="shared" si="40"/>
        <v>0</v>
      </c>
      <c r="AO382" s="12" t="s">
        <v>198</v>
      </c>
      <c r="AP382" s="12" t="s">
        <v>227</v>
      </c>
      <c r="AQ382" s="6" t="s">
        <v>234</v>
      </c>
      <c r="AS382" s="11">
        <f t="shared" si="41"/>
        <v>0</v>
      </c>
      <c r="AT382" s="11">
        <f t="shared" si="42"/>
        <v>0</v>
      </c>
      <c r="AU382" s="11">
        <v>0</v>
      </c>
      <c r="AV382" s="11">
        <f t="shared" si="43"/>
        <v>0.0016</v>
      </c>
    </row>
    <row r="383" spans="1:48" ht="12.75">
      <c r="A383" s="59" t="s">
        <v>674</v>
      </c>
      <c r="B383" s="59" t="s">
        <v>1049</v>
      </c>
      <c r="C383" s="59" t="s">
        <v>1595</v>
      </c>
      <c r="D383" s="59" t="s">
        <v>144</v>
      </c>
      <c r="E383" s="60">
        <v>1</v>
      </c>
      <c r="F383" s="61"/>
      <c r="G383" s="61">
        <f t="shared" si="22"/>
        <v>0</v>
      </c>
      <c r="H383" s="61">
        <f t="shared" si="23"/>
        <v>0</v>
      </c>
      <c r="I383" s="61">
        <f t="shared" si="24"/>
        <v>0</v>
      </c>
      <c r="J383" s="61">
        <v>0.00034</v>
      </c>
      <c r="K383" s="61">
        <f t="shared" si="25"/>
        <v>0.00034</v>
      </c>
      <c r="L383" s="62" t="s">
        <v>170</v>
      </c>
      <c r="M383" s="39"/>
      <c r="N383" s="39"/>
      <c r="P383" s="11">
        <f t="shared" si="26"/>
        <v>0</v>
      </c>
      <c r="R383" s="11">
        <f t="shared" si="27"/>
        <v>0</v>
      </c>
      <c r="S383" s="11">
        <f t="shared" si="28"/>
        <v>0</v>
      </c>
      <c r="T383" s="11">
        <f t="shared" si="29"/>
        <v>0</v>
      </c>
      <c r="U383" s="11">
        <f t="shared" si="30"/>
        <v>0</v>
      </c>
      <c r="V383" s="11">
        <f t="shared" si="31"/>
        <v>0</v>
      </c>
      <c r="W383" s="11">
        <f t="shared" si="32"/>
        <v>0</v>
      </c>
      <c r="X383" s="11">
        <f t="shared" si="33"/>
        <v>0</v>
      </c>
      <c r="Y383" s="6"/>
      <c r="Z383" s="4">
        <f t="shared" si="34"/>
        <v>0</v>
      </c>
      <c r="AA383" s="4">
        <f t="shared" si="35"/>
        <v>0</v>
      </c>
      <c r="AB383" s="4">
        <f t="shared" si="36"/>
        <v>0</v>
      </c>
      <c r="AD383" s="11">
        <v>21</v>
      </c>
      <c r="AE383" s="11">
        <f t="shared" si="37"/>
        <v>0</v>
      </c>
      <c r="AF383" s="11">
        <f t="shared" si="38"/>
        <v>0</v>
      </c>
      <c r="AG383" s="7" t="s">
        <v>504</v>
      </c>
      <c r="AM383" s="11">
        <f t="shared" si="39"/>
        <v>0</v>
      </c>
      <c r="AN383" s="11">
        <f t="shared" si="40"/>
        <v>0</v>
      </c>
      <c r="AO383" s="12" t="s">
        <v>198</v>
      </c>
      <c r="AP383" s="12" t="s">
        <v>227</v>
      </c>
      <c r="AQ383" s="6" t="s">
        <v>234</v>
      </c>
      <c r="AS383" s="11">
        <f t="shared" si="41"/>
        <v>0</v>
      </c>
      <c r="AT383" s="11">
        <f t="shared" si="42"/>
        <v>0</v>
      </c>
      <c r="AU383" s="11">
        <v>0</v>
      </c>
      <c r="AV383" s="11">
        <f t="shared" si="43"/>
        <v>0.00034</v>
      </c>
    </row>
    <row r="384" spans="1:48" ht="12.75">
      <c r="A384" s="59" t="s">
        <v>675</v>
      </c>
      <c r="B384" s="59" t="s">
        <v>1050</v>
      </c>
      <c r="C384" s="59" t="s">
        <v>1596</v>
      </c>
      <c r="D384" s="59" t="s">
        <v>144</v>
      </c>
      <c r="E384" s="60">
        <v>1</v>
      </c>
      <c r="F384" s="61"/>
      <c r="G384" s="61">
        <f t="shared" si="22"/>
        <v>0</v>
      </c>
      <c r="H384" s="61">
        <f t="shared" si="23"/>
        <v>0</v>
      </c>
      <c r="I384" s="61">
        <f t="shared" si="24"/>
        <v>0</v>
      </c>
      <c r="J384" s="61">
        <v>0.00015</v>
      </c>
      <c r="K384" s="61">
        <f t="shared" si="25"/>
        <v>0.00015</v>
      </c>
      <c r="L384" s="62" t="s">
        <v>170</v>
      </c>
      <c r="M384" s="39"/>
      <c r="N384" s="39"/>
      <c r="P384" s="11">
        <f t="shared" si="26"/>
        <v>0</v>
      </c>
      <c r="R384" s="11">
        <f t="shared" si="27"/>
        <v>0</v>
      </c>
      <c r="S384" s="11">
        <f t="shared" si="28"/>
        <v>0</v>
      </c>
      <c r="T384" s="11">
        <f t="shared" si="29"/>
        <v>0</v>
      </c>
      <c r="U384" s="11">
        <f t="shared" si="30"/>
        <v>0</v>
      </c>
      <c r="V384" s="11">
        <f t="shared" si="31"/>
        <v>0</v>
      </c>
      <c r="W384" s="11">
        <f t="shared" si="32"/>
        <v>0</v>
      </c>
      <c r="X384" s="11">
        <f t="shared" si="33"/>
        <v>0</v>
      </c>
      <c r="Y384" s="6"/>
      <c r="Z384" s="4">
        <f t="shared" si="34"/>
        <v>0</v>
      </c>
      <c r="AA384" s="4">
        <f t="shared" si="35"/>
        <v>0</v>
      </c>
      <c r="AB384" s="4">
        <f t="shared" si="36"/>
        <v>0</v>
      </c>
      <c r="AD384" s="11">
        <v>21</v>
      </c>
      <c r="AE384" s="11">
        <f t="shared" si="37"/>
        <v>0</v>
      </c>
      <c r="AF384" s="11">
        <f t="shared" si="38"/>
        <v>0</v>
      </c>
      <c r="AG384" s="7" t="s">
        <v>504</v>
      </c>
      <c r="AM384" s="11">
        <f t="shared" si="39"/>
        <v>0</v>
      </c>
      <c r="AN384" s="11">
        <f t="shared" si="40"/>
        <v>0</v>
      </c>
      <c r="AO384" s="12" t="s">
        <v>198</v>
      </c>
      <c r="AP384" s="12" t="s">
        <v>227</v>
      </c>
      <c r="AQ384" s="6" t="s">
        <v>234</v>
      </c>
      <c r="AS384" s="11">
        <f t="shared" si="41"/>
        <v>0</v>
      </c>
      <c r="AT384" s="11">
        <f t="shared" si="42"/>
        <v>0</v>
      </c>
      <c r="AU384" s="11">
        <v>0</v>
      </c>
      <c r="AV384" s="11">
        <f t="shared" si="43"/>
        <v>0.00015</v>
      </c>
    </row>
    <row r="385" spans="1:48" ht="12.75">
      <c r="A385" s="59" t="s">
        <v>676</v>
      </c>
      <c r="B385" s="59" t="s">
        <v>1051</v>
      </c>
      <c r="C385" s="59" t="s">
        <v>1597</v>
      </c>
      <c r="D385" s="59" t="s">
        <v>148</v>
      </c>
      <c r="E385" s="60">
        <v>1</v>
      </c>
      <c r="F385" s="61"/>
      <c r="G385" s="61">
        <f t="shared" si="22"/>
        <v>0</v>
      </c>
      <c r="H385" s="61">
        <f t="shared" si="23"/>
        <v>0</v>
      </c>
      <c r="I385" s="61">
        <f t="shared" si="24"/>
        <v>0</v>
      </c>
      <c r="J385" s="61">
        <v>0.00346</v>
      </c>
      <c r="K385" s="61">
        <f t="shared" si="25"/>
        <v>0.00346</v>
      </c>
      <c r="L385" s="62" t="s">
        <v>170</v>
      </c>
      <c r="M385" s="39"/>
      <c r="N385" s="39"/>
      <c r="P385" s="11">
        <f t="shared" si="26"/>
        <v>0</v>
      </c>
      <c r="R385" s="11">
        <f t="shared" si="27"/>
        <v>0</v>
      </c>
      <c r="S385" s="11">
        <f t="shared" si="28"/>
        <v>0</v>
      </c>
      <c r="T385" s="11">
        <f t="shared" si="29"/>
        <v>0</v>
      </c>
      <c r="U385" s="11">
        <f t="shared" si="30"/>
        <v>0</v>
      </c>
      <c r="V385" s="11">
        <f t="shared" si="31"/>
        <v>0</v>
      </c>
      <c r="W385" s="11">
        <f t="shared" si="32"/>
        <v>0</v>
      </c>
      <c r="X385" s="11">
        <f t="shared" si="33"/>
        <v>0</v>
      </c>
      <c r="Y385" s="6"/>
      <c r="Z385" s="4">
        <f t="shared" si="34"/>
        <v>0</v>
      </c>
      <c r="AA385" s="4">
        <f t="shared" si="35"/>
        <v>0</v>
      </c>
      <c r="AB385" s="4">
        <f t="shared" si="36"/>
        <v>0</v>
      </c>
      <c r="AD385" s="11">
        <v>21</v>
      </c>
      <c r="AE385" s="11">
        <f t="shared" si="37"/>
        <v>0</v>
      </c>
      <c r="AF385" s="11">
        <f t="shared" si="38"/>
        <v>0</v>
      </c>
      <c r="AG385" s="7" t="s">
        <v>504</v>
      </c>
      <c r="AM385" s="11">
        <f t="shared" si="39"/>
        <v>0</v>
      </c>
      <c r="AN385" s="11">
        <f t="shared" si="40"/>
        <v>0</v>
      </c>
      <c r="AO385" s="12" t="s">
        <v>198</v>
      </c>
      <c r="AP385" s="12" t="s">
        <v>227</v>
      </c>
      <c r="AQ385" s="6" t="s">
        <v>234</v>
      </c>
      <c r="AS385" s="11">
        <f t="shared" si="41"/>
        <v>0</v>
      </c>
      <c r="AT385" s="11">
        <f t="shared" si="42"/>
        <v>0</v>
      </c>
      <c r="AU385" s="11">
        <v>0</v>
      </c>
      <c r="AV385" s="11">
        <f t="shared" si="43"/>
        <v>0.00346</v>
      </c>
    </row>
    <row r="386" spans="1:48" ht="12.75">
      <c r="A386" s="59" t="s">
        <v>677</v>
      </c>
      <c r="B386" s="59" t="s">
        <v>1052</v>
      </c>
      <c r="C386" s="59" t="s">
        <v>1598</v>
      </c>
      <c r="D386" s="59" t="s">
        <v>146</v>
      </c>
      <c r="E386" s="60">
        <v>19</v>
      </c>
      <c r="F386" s="61"/>
      <c r="G386" s="61">
        <f t="shared" si="22"/>
        <v>0</v>
      </c>
      <c r="H386" s="61">
        <f t="shared" si="23"/>
        <v>0</v>
      </c>
      <c r="I386" s="61">
        <f t="shared" si="24"/>
        <v>0</v>
      </c>
      <c r="J386" s="61">
        <v>0</v>
      </c>
      <c r="K386" s="61">
        <f t="shared" si="25"/>
        <v>0</v>
      </c>
      <c r="L386" s="62" t="s">
        <v>170</v>
      </c>
      <c r="M386" s="39"/>
      <c r="N386" s="39"/>
      <c r="P386" s="11">
        <f t="shared" si="26"/>
        <v>0</v>
      </c>
      <c r="R386" s="11">
        <f t="shared" si="27"/>
        <v>0</v>
      </c>
      <c r="S386" s="11">
        <f t="shared" si="28"/>
        <v>0</v>
      </c>
      <c r="T386" s="11">
        <f t="shared" si="29"/>
        <v>0</v>
      </c>
      <c r="U386" s="11">
        <f t="shared" si="30"/>
        <v>0</v>
      </c>
      <c r="V386" s="11">
        <f t="shared" si="31"/>
        <v>0</v>
      </c>
      <c r="W386" s="11">
        <f t="shared" si="32"/>
        <v>0</v>
      </c>
      <c r="X386" s="11">
        <f t="shared" si="33"/>
        <v>0</v>
      </c>
      <c r="Y386" s="6"/>
      <c r="Z386" s="4">
        <f t="shared" si="34"/>
        <v>0</v>
      </c>
      <c r="AA386" s="4">
        <f t="shared" si="35"/>
        <v>0</v>
      </c>
      <c r="AB386" s="4">
        <f t="shared" si="36"/>
        <v>0</v>
      </c>
      <c r="AD386" s="11">
        <v>21</v>
      </c>
      <c r="AE386" s="11">
        <f t="shared" si="37"/>
        <v>0</v>
      </c>
      <c r="AF386" s="11">
        <f t="shared" si="38"/>
        <v>0</v>
      </c>
      <c r="AG386" s="7" t="s">
        <v>504</v>
      </c>
      <c r="AM386" s="11">
        <f t="shared" si="39"/>
        <v>0</v>
      </c>
      <c r="AN386" s="11">
        <f t="shared" si="40"/>
        <v>0</v>
      </c>
      <c r="AO386" s="12" t="s">
        <v>198</v>
      </c>
      <c r="AP386" s="12" t="s">
        <v>227</v>
      </c>
      <c r="AQ386" s="6" t="s">
        <v>234</v>
      </c>
      <c r="AS386" s="11">
        <f t="shared" si="41"/>
        <v>0</v>
      </c>
      <c r="AT386" s="11">
        <f t="shared" si="42"/>
        <v>0</v>
      </c>
      <c r="AU386" s="11">
        <v>0</v>
      </c>
      <c r="AV386" s="11">
        <f t="shared" si="43"/>
        <v>0</v>
      </c>
    </row>
    <row r="387" spans="1:48" ht="12.75">
      <c r="A387" s="59" t="s">
        <v>678</v>
      </c>
      <c r="B387" s="59" t="s">
        <v>1053</v>
      </c>
      <c r="C387" s="59" t="s">
        <v>1599</v>
      </c>
      <c r="D387" s="59" t="s">
        <v>146</v>
      </c>
      <c r="E387" s="60">
        <v>115</v>
      </c>
      <c r="F387" s="61"/>
      <c r="G387" s="61">
        <f t="shared" si="22"/>
        <v>0</v>
      </c>
      <c r="H387" s="61">
        <f t="shared" si="23"/>
        <v>0</v>
      </c>
      <c r="I387" s="61">
        <f t="shared" si="24"/>
        <v>0</v>
      </c>
      <c r="J387" s="61">
        <v>0</v>
      </c>
      <c r="K387" s="61">
        <f t="shared" si="25"/>
        <v>0</v>
      </c>
      <c r="L387" s="62" t="s">
        <v>170</v>
      </c>
      <c r="M387" s="39"/>
      <c r="N387" s="39"/>
      <c r="P387" s="11">
        <f t="shared" si="26"/>
        <v>0</v>
      </c>
      <c r="R387" s="11">
        <f t="shared" si="27"/>
        <v>0</v>
      </c>
      <c r="S387" s="11">
        <f t="shared" si="28"/>
        <v>0</v>
      </c>
      <c r="T387" s="11">
        <f t="shared" si="29"/>
        <v>0</v>
      </c>
      <c r="U387" s="11">
        <f t="shared" si="30"/>
        <v>0</v>
      </c>
      <c r="V387" s="11">
        <f t="shared" si="31"/>
        <v>0</v>
      </c>
      <c r="W387" s="11">
        <f t="shared" si="32"/>
        <v>0</v>
      </c>
      <c r="X387" s="11">
        <f t="shared" si="33"/>
        <v>0</v>
      </c>
      <c r="Y387" s="6"/>
      <c r="Z387" s="4">
        <f t="shared" si="34"/>
        <v>0</v>
      </c>
      <c r="AA387" s="4">
        <f t="shared" si="35"/>
        <v>0</v>
      </c>
      <c r="AB387" s="4">
        <f t="shared" si="36"/>
        <v>0</v>
      </c>
      <c r="AD387" s="11">
        <v>21</v>
      </c>
      <c r="AE387" s="11">
        <f t="shared" si="37"/>
        <v>0</v>
      </c>
      <c r="AF387" s="11">
        <f t="shared" si="38"/>
        <v>0</v>
      </c>
      <c r="AG387" s="7" t="s">
        <v>504</v>
      </c>
      <c r="AM387" s="11">
        <f t="shared" si="39"/>
        <v>0</v>
      </c>
      <c r="AN387" s="11">
        <f t="shared" si="40"/>
        <v>0</v>
      </c>
      <c r="AO387" s="12" t="s">
        <v>198</v>
      </c>
      <c r="AP387" s="12" t="s">
        <v>227</v>
      </c>
      <c r="AQ387" s="6" t="s">
        <v>234</v>
      </c>
      <c r="AS387" s="11">
        <f t="shared" si="41"/>
        <v>0</v>
      </c>
      <c r="AT387" s="11">
        <f t="shared" si="42"/>
        <v>0</v>
      </c>
      <c r="AU387" s="11">
        <v>0</v>
      </c>
      <c r="AV387" s="11">
        <f t="shared" si="43"/>
        <v>0</v>
      </c>
    </row>
    <row r="388" spans="1:48" ht="12.75">
      <c r="A388" s="59" t="s">
        <v>679</v>
      </c>
      <c r="B388" s="59" t="s">
        <v>1054</v>
      </c>
      <c r="C388" s="59" t="s">
        <v>1600</v>
      </c>
      <c r="D388" s="59" t="s">
        <v>146</v>
      </c>
      <c r="E388" s="60">
        <v>115</v>
      </c>
      <c r="F388" s="61"/>
      <c r="G388" s="61">
        <f t="shared" si="22"/>
        <v>0</v>
      </c>
      <c r="H388" s="61">
        <f t="shared" si="23"/>
        <v>0</v>
      </c>
      <c r="I388" s="61">
        <f t="shared" si="24"/>
        <v>0</v>
      </c>
      <c r="J388" s="61">
        <v>1E-05</v>
      </c>
      <c r="K388" s="61">
        <f t="shared" si="25"/>
        <v>0.0011500000000000002</v>
      </c>
      <c r="L388" s="62" t="s">
        <v>170</v>
      </c>
      <c r="M388" s="39"/>
      <c r="N388" s="39"/>
      <c r="P388" s="11">
        <f t="shared" si="26"/>
        <v>0</v>
      </c>
      <c r="R388" s="11">
        <f t="shared" si="27"/>
        <v>0</v>
      </c>
      <c r="S388" s="11">
        <f t="shared" si="28"/>
        <v>0</v>
      </c>
      <c r="T388" s="11">
        <f t="shared" si="29"/>
        <v>0</v>
      </c>
      <c r="U388" s="11">
        <f t="shared" si="30"/>
        <v>0</v>
      </c>
      <c r="V388" s="11">
        <f t="shared" si="31"/>
        <v>0</v>
      </c>
      <c r="W388" s="11">
        <f t="shared" si="32"/>
        <v>0</v>
      </c>
      <c r="X388" s="11">
        <f t="shared" si="33"/>
        <v>0</v>
      </c>
      <c r="Y388" s="6"/>
      <c r="Z388" s="4">
        <f t="shared" si="34"/>
        <v>0</v>
      </c>
      <c r="AA388" s="4">
        <f t="shared" si="35"/>
        <v>0</v>
      </c>
      <c r="AB388" s="4">
        <f t="shared" si="36"/>
        <v>0</v>
      </c>
      <c r="AD388" s="11">
        <v>21</v>
      </c>
      <c r="AE388" s="11">
        <f t="shared" si="37"/>
        <v>0</v>
      </c>
      <c r="AF388" s="11">
        <f t="shared" si="38"/>
        <v>0</v>
      </c>
      <c r="AG388" s="7" t="s">
        <v>504</v>
      </c>
      <c r="AM388" s="11">
        <f t="shared" si="39"/>
        <v>0</v>
      </c>
      <c r="AN388" s="11">
        <f t="shared" si="40"/>
        <v>0</v>
      </c>
      <c r="AO388" s="12" t="s">
        <v>198</v>
      </c>
      <c r="AP388" s="12" t="s">
        <v>227</v>
      </c>
      <c r="AQ388" s="6" t="s">
        <v>234</v>
      </c>
      <c r="AS388" s="11">
        <f t="shared" si="41"/>
        <v>0</v>
      </c>
      <c r="AT388" s="11">
        <f t="shared" si="42"/>
        <v>0</v>
      </c>
      <c r="AU388" s="11">
        <v>0</v>
      </c>
      <c r="AV388" s="11">
        <f t="shared" si="43"/>
        <v>0.0011500000000000002</v>
      </c>
    </row>
    <row r="389" spans="1:48" ht="12.75">
      <c r="A389" s="59" t="s">
        <v>680</v>
      </c>
      <c r="B389" s="59" t="s">
        <v>1055</v>
      </c>
      <c r="C389" s="59" t="s">
        <v>1601</v>
      </c>
      <c r="D389" s="59" t="s">
        <v>144</v>
      </c>
      <c r="E389" s="60">
        <v>1</v>
      </c>
      <c r="F389" s="61"/>
      <c r="G389" s="61">
        <f t="shared" si="22"/>
        <v>0</v>
      </c>
      <c r="H389" s="61">
        <f t="shared" si="23"/>
        <v>0</v>
      </c>
      <c r="I389" s="61">
        <f t="shared" si="24"/>
        <v>0</v>
      </c>
      <c r="J389" s="61">
        <v>0</v>
      </c>
      <c r="K389" s="61">
        <f t="shared" si="25"/>
        <v>0</v>
      </c>
      <c r="L389" s="62" t="s">
        <v>170</v>
      </c>
      <c r="M389" s="39"/>
      <c r="N389" s="39"/>
      <c r="P389" s="11">
        <f t="shared" si="26"/>
        <v>0</v>
      </c>
      <c r="R389" s="11">
        <f t="shared" si="27"/>
        <v>0</v>
      </c>
      <c r="S389" s="11">
        <f t="shared" si="28"/>
        <v>0</v>
      </c>
      <c r="T389" s="11">
        <f t="shared" si="29"/>
        <v>0</v>
      </c>
      <c r="U389" s="11">
        <f t="shared" si="30"/>
        <v>0</v>
      </c>
      <c r="V389" s="11">
        <f t="shared" si="31"/>
        <v>0</v>
      </c>
      <c r="W389" s="11">
        <f t="shared" si="32"/>
        <v>0</v>
      </c>
      <c r="X389" s="11">
        <f t="shared" si="33"/>
        <v>0</v>
      </c>
      <c r="Y389" s="6"/>
      <c r="Z389" s="4">
        <f t="shared" si="34"/>
        <v>0</v>
      </c>
      <c r="AA389" s="4">
        <f t="shared" si="35"/>
        <v>0</v>
      </c>
      <c r="AB389" s="4">
        <f t="shared" si="36"/>
        <v>0</v>
      </c>
      <c r="AD389" s="11">
        <v>21</v>
      </c>
      <c r="AE389" s="11">
        <f t="shared" si="37"/>
        <v>0</v>
      </c>
      <c r="AF389" s="11">
        <f t="shared" si="38"/>
        <v>0</v>
      </c>
      <c r="AG389" s="7" t="s">
        <v>504</v>
      </c>
      <c r="AM389" s="11">
        <f t="shared" si="39"/>
        <v>0</v>
      </c>
      <c r="AN389" s="11">
        <f t="shared" si="40"/>
        <v>0</v>
      </c>
      <c r="AO389" s="12" t="s">
        <v>198</v>
      </c>
      <c r="AP389" s="12" t="s">
        <v>227</v>
      </c>
      <c r="AQ389" s="6" t="s">
        <v>234</v>
      </c>
      <c r="AS389" s="11">
        <f t="shared" si="41"/>
        <v>0</v>
      </c>
      <c r="AT389" s="11">
        <f t="shared" si="42"/>
        <v>0</v>
      </c>
      <c r="AU389" s="11">
        <v>0</v>
      </c>
      <c r="AV389" s="11">
        <f t="shared" si="43"/>
        <v>0</v>
      </c>
    </row>
    <row r="390" spans="1:48" ht="12.75">
      <c r="A390" s="59" t="s">
        <v>681</v>
      </c>
      <c r="B390" s="59" t="s">
        <v>1056</v>
      </c>
      <c r="C390" s="59" t="s">
        <v>1602</v>
      </c>
      <c r="D390" s="59" t="s">
        <v>149</v>
      </c>
      <c r="E390" s="60">
        <v>1</v>
      </c>
      <c r="F390" s="61"/>
      <c r="G390" s="61">
        <f t="shared" si="22"/>
        <v>0</v>
      </c>
      <c r="H390" s="61">
        <f t="shared" si="23"/>
        <v>0</v>
      </c>
      <c r="I390" s="61">
        <f t="shared" si="24"/>
        <v>0</v>
      </c>
      <c r="J390" s="61">
        <v>0</v>
      </c>
      <c r="K390" s="61">
        <f t="shared" si="25"/>
        <v>0</v>
      </c>
      <c r="L390" s="62" t="s">
        <v>170</v>
      </c>
      <c r="M390" s="39"/>
      <c r="N390" s="39"/>
      <c r="P390" s="11">
        <f t="shared" si="26"/>
        <v>0</v>
      </c>
      <c r="R390" s="11">
        <f t="shared" si="27"/>
        <v>0</v>
      </c>
      <c r="S390" s="11">
        <f t="shared" si="28"/>
        <v>0</v>
      </c>
      <c r="T390" s="11">
        <f t="shared" si="29"/>
        <v>0</v>
      </c>
      <c r="U390" s="11">
        <f t="shared" si="30"/>
        <v>0</v>
      </c>
      <c r="V390" s="11">
        <f t="shared" si="31"/>
        <v>0</v>
      </c>
      <c r="W390" s="11">
        <f t="shared" si="32"/>
        <v>0</v>
      </c>
      <c r="X390" s="11">
        <f t="shared" si="33"/>
        <v>0</v>
      </c>
      <c r="Y390" s="6"/>
      <c r="Z390" s="4">
        <f t="shared" si="34"/>
        <v>0</v>
      </c>
      <c r="AA390" s="4">
        <f t="shared" si="35"/>
        <v>0</v>
      </c>
      <c r="AB390" s="4">
        <f t="shared" si="36"/>
        <v>0</v>
      </c>
      <c r="AD390" s="11">
        <v>21</v>
      </c>
      <c r="AE390" s="11">
        <f t="shared" si="37"/>
        <v>0</v>
      </c>
      <c r="AF390" s="11">
        <f t="shared" si="38"/>
        <v>0</v>
      </c>
      <c r="AG390" s="7" t="s">
        <v>504</v>
      </c>
      <c r="AM390" s="11">
        <f t="shared" si="39"/>
        <v>0</v>
      </c>
      <c r="AN390" s="11">
        <f t="shared" si="40"/>
        <v>0</v>
      </c>
      <c r="AO390" s="12" t="s">
        <v>198</v>
      </c>
      <c r="AP390" s="12" t="s">
        <v>227</v>
      </c>
      <c r="AQ390" s="6" t="s">
        <v>234</v>
      </c>
      <c r="AS390" s="11">
        <f t="shared" si="41"/>
        <v>0</v>
      </c>
      <c r="AT390" s="11">
        <f t="shared" si="42"/>
        <v>0</v>
      </c>
      <c r="AU390" s="11">
        <v>0</v>
      </c>
      <c r="AV390" s="11">
        <f t="shared" si="43"/>
        <v>0</v>
      </c>
    </row>
    <row r="391" spans="1:48" ht="12.75">
      <c r="A391" s="59" t="s">
        <v>682</v>
      </c>
      <c r="B391" s="59" t="s">
        <v>1057</v>
      </c>
      <c r="C391" s="59" t="s">
        <v>1603</v>
      </c>
      <c r="D391" s="59" t="s">
        <v>148</v>
      </c>
      <c r="E391" s="60">
        <v>1</v>
      </c>
      <c r="F391" s="61"/>
      <c r="G391" s="61">
        <f t="shared" si="22"/>
        <v>0</v>
      </c>
      <c r="H391" s="61">
        <f t="shared" si="23"/>
        <v>0</v>
      </c>
      <c r="I391" s="61">
        <f t="shared" si="24"/>
        <v>0</v>
      </c>
      <c r="J391" s="61">
        <v>0.02872</v>
      </c>
      <c r="K391" s="61">
        <f t="shared" si="25"/>
        <v>0.02872</v>
      </c>
      <c r="L391" s="62" t="s">
        <v>170</v>
      </c>
      <c r="M391" s="39"/>
      <c r="N391" s="39"/>
      <c r="P391" s="11">
        <f t="shared" si="26"/>
        <v>0</v>
      </c>
      <c r="R391" s="11">
        <f t="shared" si="27"/>
        <v>0</v>
      </c>
      <c r="S391" s="11">
        <f t="shared" si="28"/>
        <v>0</v>
      </c>
      <c r="T391" s="11">
        <f t="shared" si="29"/>
        <v>0</v>
      </c>
      <c r="U391" s="11">
        <f t="shared" si="30"/>
        <v>0</v>
      </c>
      <c r="V391" s="11">
        <f t="shared" si="31"/>
        <v>0</v>
      </c>
      <c r="W391" s="11">
        <f t="shared" si="32"/>
        <v>0</v>
      </c>
      <c r="X391" s="11">
        <f t="shared" si="33"/>
        <v>0</v>
      </c>
      <c r="Y391" s="6"/>
      <c r="Z391" s="4">
        <f t="shared" si="34"/>
        <v>0</v>
      </c>
      <c r="AA391" s="4">
        <f t="shared" si="35"/>
        <v>0</v>
      </c>
      <c r="AB391" s="4">
        <f t="shared" si="36"/>
        <v>0</v>
      </c>
      <c r="AD391" s="11">
        <v>21</v>
      </c>
      <c r="AE391" s="11">
        <f t="shared" si="37"/>
        <v>0</v>
      </c>
      <c r="AF391" s="11">
        <f t="shared" si="38"/>
        <v>0</v>
      </c>
      <c r="AG391" s="7" t="s">
        <v>504</v>
      </c>
      <c r="AM391" s="11">
        <f t="shared" si="39"/>
        <v>0</v>
      </c>
      <c r="AN391" s="11">
        <f t="shared" si="40"/>
        <v>0</v>
      </c>
      <c r="AO391" s="12" t="s">
        <v>198</v>
      </c>
      <c r="AP391" s="12" t="s">
        <v>227</v>
      </c>
      <c r="AQ391" s="6" t="s">
        <v>234</v>
      </c>
      <c r="AS391" s="11">
        <f t="shared" si="41"/>
        <v>0</v>
      </c>
      <c r="AT391" s="11">
        <f t="shared" si="42"/>
        <v>0</v>
      </c>
      <c r="AU391" s="11">
        <v>0</v>
      </c>
      <c r="AV391" s="11">
        <f t="shared" si="43"/>
        <v>0.02872</v>
      </c>
    </row>
    <row r="392" spans="1:48" ht="12.75">
      <c r="A392" s="59" t="s">
        <v>683</v>
      </c>
      <c r="B392" s="59" t="s">
        <v>1058</v>
      </c>
      <c r="C392" s="59" t="s">
        <v>1604</v>
      </c>
      <c r="D392" s="59" t="s">
        <v>148</v>
      </c>
      <c r="E392" s="60">
        <v>1</v>
      </c>
      <c r="F392" s="61"/>
      <c r="G392" s="61">
        <f t="shared" si="22"/>
        <v>0</v>
      </c>
      <c r="H392" s="61">
        <f t="shared" si="23"/>
        <v>0</v>
      </c>
      <c r="I392" s="61">
        <f t="shared" si="24"/>
        <v>0</v>
      </c>
      <c r="J392" s="61">
        <v>0.01701</v>
      </c>
      <c r="K392" s="61">
        <f t="shared" si="25"/>
        <v>0.01701</v>
      </c>
      <c r="L392" s="62" t="s">
        <v>170</v>
      </c>
      <c r="M392" s="39"/>
      <c r="N392" s="39"/>
      <c r="P392" s="11">
        <f t="shared" si="26"/>
        <v>0</v>
      </c>
      <c r="R392" s="11">
        <f t="shared" si="27"/>
        <v>0</v>
      </c>
      <c r="S392" s="11">
        <f t="shared" si="28"/>
        <v>0</v>
      </c>
      <c r="T392" s="11">
        <f t="shared" si="29"/>
        <v>0</v>
      </c>
      <c r="U392" s="11">
        <f t="shared" si="30"/>
        <v>0</v>
      </c>
      <c r="V392" s="11">
        <f t="shared" si="31"/>
        <v>0</v>
      </c>
      <c r="W392" s="11">
        <f t="shared" si="32"/>
        <v>0</v>
      </c>
      <c r="X392" s="11">
        <f t="shared" si="33"/>
        <v>0</v>
      </c>
      <c r="Y392" s="6"/>
      <c r="Z392" s="4">
        <f t="shared" si="34"/>
        <v>0</v>
      </c>
      <c r="AA392" s="4">
        <f t="shared" si="35"/>
        <v>0</v>
      </c>
      <c r="AB392" s="4">
        <f t="shared" si="36"/>
        <v>0</v>
      </c>
      <c r="AD392" s="11">
        <v>21</v>
      </c>
      <c r="AE392" s="11">
        <f t="shared" si="37"/>
        <v>0</v>
      </c>
      <c r="AF392" s="11">
        <f t="shared" si="38"/>
        <v>0</v>
      </c>
      <c r="AG392" s="7" t="s">
        <v>504</v>
      </c>
      <c r="AM392" s="11">
        <f t="shared" si="39"/>
        <v>0</v>
      </c>
      <c r="AN392" s="11">
        <f t="shared" si="40"/>
        <v>0</v>
      </c>
      <c r="AO392" s="12" t="s">
        <v>198</v>
      </c>
      <c r="AP392" s="12" t="s">
        <v>227</v>
      </c>
      <c r="AQ392" s="6" t="s">
        <v>234</v>
      </c>
      <c r="AS392" s="11">
        <f t="shared" si="41"/>
        <v>0</v>
      </c>
      <c r="AT392" s="11">
        <f t="shared" si="42"/>
        <v>0</v>
      </c>
      <c r="AU392" s="11">
        <v>0</v>
      </c>
      <c r="AV392" s="11">
        <f t="shared" si="43"/>
        <v>0.01701</v>
      </c>
    </row>
    <row r="393" spans="1:48" ht="12.75">
      <c r="A393" s="59" t="s">
        <v>684</v>
      </c>
      <c r="B393" s="59" t="s">
        <v>1059</v>
      </c>
      <c r="C393" s="59" t="s">
        <v>1605</v>
      </c>
      <c r="D393" s="59" t="s">
        <v>148</v>
      </c>
      <c r="E393" s="60">
        <v>3</v>
      </c>
      <c r="F393" s="61"/>
      <c r="G393" s="61">
        <f t="shared" si="22"/>
        <v>0</v>
      </c>
      <c r="H393" s="61">
        <f t="shared" si="23"/>
        <v>0</v>
      </c>
      <c r="I393" s="61">
        <f t="shared" si="24"/>
        <v>0</v>
      </c>
      <c r="J393" s="61">
        <v>0.02931</v>
      </c>
      <c r="K393" s="61">
        <f t="shared" si="25"/>
        <v>0.08793</v>
      </c>
      <c r="L393" s="62" t="s">
        <v>170</v>
      </c>
      <c r="M393" s="39"/>
      <c r="N393" s="39"/>
      <c r="P393" s="11">
        <f t="shared" si="26"/>
        <v>0</v>
      </c>
      <c r="R393" s="11">
        <f t="shared" si="27"/>
        <v>0</v>
      </c>
      <c r="S393" s="11">
        <f t="shared" si="28"/>
        <v>0</v>
      </c>
      <c r="T393" s="11">
        <f t="shared" si="29"/>
        <v>0</v>
      </c>
      <c r="U393" s="11">
        <f t="shared" si="30"/>
        <v>0</v>
      </c>
      <c r="V393" s="11">
        <f t="shared" si="31"/>
        <v>0</v>
      </c>
      <c r="W393" s="11">
        <f t="shared" si="32"/>
        <v>0</v>
      </c>
      <c r="X393" s="11">
        <f t="shared" si="33"/>
        <v>0</v>
      </c>
      <c r="Y393" s="6"/>
      <c r="Z393" s="4">
        <f t="shared" si="34"/>
        <v>0</v>
      </c>
      <c r="AA393" s="4">
        <f t="shared" si="35"/>
        <v>0</v>
      </c>
      <c r="AB393" s="4">
        <f t="shared" si="36"/>
        <v>0</v>
      </c>
      <c r="AD393" s="11">
        <v>21</v>
      </c>
      <c r="AE393" s="11">
        <f t="shared" si="37"/>
        <v>0</v>
      </c>
      <c r="AF393" s="11">
        <f t="shared" si="38"/>
        <v>0</v>
      </c>
      <c r="AG393" s="7" t="s">
        <v>504</v>
      </c>
      <c r="AM393" s="11">
        <f t="shared" si="39"/>
        <v>0</v>
      </c>
      <c r="AN393" s="11">
        <f t="shared" si="40"/>
        <v>0</v>
      </c>
      <c r="AO393" s="12" t="s">
        <v>198</v>
      </c>
      <c r="AP393" s="12" t="s">
        <v>227</v>
      </c>
      <c r="AQ393" s="6" t="s">
        <v>234</v>
      </c>
      <c r="AS393" s="11">
        <f t="shared" si="41"/>
        <v>0</v>
      </c>
      <c r="AT393" s="11">
        <f t="shared" si="42"/>
        <v>0</v>
      </c>
      <c r="AU393" s="11">
        <v>0</v>
      </c>
      <c r="AV393" s="11">
        <f t="shared" si="43"/>
        <v>0.08793</v>
      </c>
    </row>
    <row r="394" spans="1:48" ht="12.75">
      <c r="A394" s="59" t="s">
        <v>685</v>
      </c>
      <c r="B394" s="59" t="s">
        <v>1060</v>
      </c>
      <c r="C394" s="59" t="s">
        <v>1606</v>
      </c>
      <c r="D394" s="59" t="s">
        <v>148</v>
      </c>
      <c r="E394" s="60">
        <v>2</v>
      </c>
      <c r="F394" s="61"/>
      <c r="G394" s="61">
        <f t="shared" si="22"/>
        <v>0</v>
      </c>
      <c r="H394" s="61">
        <f t="shared" si="23"/>
        <v>0</v>
      </c>
      <c r="I394" s="61">
        <f t="shared" si="24"/>
        <v>0</v>
      </c>
      <c r="J394" s="61">
        <v>0.00392</v>
      </c>
      <c r="K394" s="61">
        <f t="shared" si="25"/>
        <v>0.00784</v>
      </c>
      <c r="L394" s="62" t="s">
        <v>170</v>
      </c>
      <c r="M394" s="39"/>
      <c r="N394" s="39"/>
      <c r="P394" s="11">
        <f t="shared" si="26"/>
        <v>0</v>
      </c>
      <c r="R394" s="11">
        <f t="shared" si="27"/>
        <v>0</v>
      </c>
      <c r="S394" s="11">
        <f t="shared" si="28"/>
        <v>0</v>
      </c>
      <c r="T394" s="11">
        <f t="shared" si="29"/>
        <v>0</v>
      </c>
      <c r="U394" s="11">
        <f t="shared" si="30"/>
        <v>0</v>
      </c>
      <c r="V394" s="11">
        <f t="shared" si="31"/>
        <v>0</v>
      </c>
      <c r="W394" s="11">
        <f t="shared" si="32"/>
        <v>0</v>
      </c>
      <c r="X394" s="11">
        <f t="shared" si="33"/>
        <v>0</v>
      </c>
      <c r="Y394" s="6"/>
      <c r="Z394" s="4">
        <f t="shared" si="34"/>
        <v>0</v>
      </c>
      <c r="AA394" s="4">
        <f t="shared" si="35"/>
        <v>0</v>
      </c>
      <c r="AB394" s="4">
        <f t="shared" si="36"/>
        <v>0</v>
      </c>
      <c r="AD394" s="11">
        <v>21</v>
      </c>
      <c r="AE394" s="11">
        <f t="shared" si="37"/>
        <v>0</v>
      </c>
      <c r="AF394" s="11">
        <f t="shared" si="38"/>
        <v>0</v>
      </c>
      <c r="AG394" s="7" t="s">
        <v>504</v>
      </c>
      <c r="AM394" s="11">
        <f t="shared" si="39"/>
        <v>0</v>
      </c>
      <c r="AN394" s="11">
        <f t="shared" si="40"/>
        <v>0</v>
      </c>
      <c r="AO394" s="12" t="s">
        <v>198</v>
      </c>
      <c r="AP394" s="12" t="s">
        <v>227</v>
      </c>
      <c r="AQ394" s="6" t="s">
        <v>234</v>
      </c>
      <c r="AS394" s="11">
        <f t="shared" si="41"/>
        <v>0</v>
      </c>
      <c r="AT394" s="11">
        <f t="shared" si="42"/>
        <v>0</v>
      </c>
      <c r="AU394" s="11">
        <v>0</v>
      </c>
      <c r="AV394" s="11">
        <f t="shared" si="43"/>
        <v>0.00784</v>
      </c>
    </row>
    <row r="395" spans="1:48" ht="12.75">
      <c r="A395" s="59" t="s">
        <v>686</v>
      </c>
      <c r="B395" s="59" t="s">
        <v>1061</v>
      </c>
      <c r="C395" s="59" t="s">
        <v>1607</v>
      </c>
      <c r="D395" s="59" t="s">
        <v>144</v>
      </c>
      <c r="E395" s="60">
        <v>2</v>
      </c>
      <c r="F395" s="61"/>
      <c r="G395" s="61">
        <f t="shared" si="22"/>
        <v>0</v>
      </c>
      <c r="H395" s="61">
        <f t="shared" si="23"/>
        <v>0</v>
      </c>
      <c r="I395" s="61">
        <f t="shared" si="24"/>
        <v>0</v>
      </c>
      <c r="J395" s="61">
        <v>0.0085</v>
      </c>
      <c r="K395" s="61">
        <f t="shared" si="25"/>
        <v>0.017</v>
      </c>
      <c r="L395" s="62" t="s">
        <v>170</v>
      </c>
      <c r="M395" s="39"/>
      <c r="N395" s="39"/>
      <c r="P395" s="11">
        <f t="shared" si="26"/>
        <v>0</v>
      </c>
      <c r="R395" s="11">
        <f t="shared" si="27"/>
        <v>0</v>
      </c>
      <c r="S395" s="11">
        <f t="shared" si="28"/>
        <v>0</v>
      </c>
      <c r="T395" s="11">
        <f t="shared" si="29"/>
        <v>0</v>
      </c>
      <c r="U395" s="11">
        <f t="shared" si="30"/>
        <v>0</v>
      </c>
      <c r="V395" s="11">
        <f t="shared" si="31"/>
        <v>0</v>
      </c>
      <c r="W395" s="11">
        <f t="shared" si="32"/>
        <v>0</v>
      </c>
      <c r="X395" s="11">
        <f t="shared" si="33"/>
        <v>0</v>
      </c>
      <c r="Y395" s="6"/>
      <c r="Z395" s="4">
        <f t="shared" si="34"/>
        <v>0</v>
      </c>
      <c r="AA395" s="4">
        <f t="shared" si="35"/>
        <v>0</v>
      </c>
      <c r="AB395" s="4">
        <f t="shared" si="36"/>
        <v>0</v>
      </c>
      <c r="AD395" s="11">
        <v>21</v>
      </c>
      <c r="AE395" s="11">
        <f t="shared" si="37"/>
        <v>0</v>
      </c>
      <c r="AF395" s="11">
        <f t="shared" si="38"/>
        <v>0</v>
      </c>
      <c r="AG395" s="7" t="s">
        <v>504</v>
      </c>
      <c r="AM395" s="11">
        <f t="shared" si="39"/>
        <v>0</v>
      </c>
      <c r="AN395" s="11">
        <f t="shared" si="40"/>
        <v>0</v>
      </c>
      <c r="AO395" s="12" t="s">
        <v>198</v>
      </c>
      <c r="AP395" s="12" t="s">
        <v>227</v>
      </c>
      <c r="AQ395" s="6" t="s">
        <v>234</v>
      </c>
      <c r="AS395" s="11">
        <f t="shared" si="41"/>
        <v>0</v>
      </c>
      <c r="AT395" s="11">
        <f t="shared" si="42"/>
        <v>0</v>
      </c>
      <c r="AU395" s="11">
        <v>0</v>
      </c>
      <c r="AV395" s="11">
        <f t="shared" si="43"/>
        <v>0.017</v>
      </c>
    </row>
    <row r="396" spans="1:48" ht="12.75">
      <c r="A396" s="59" t="s">
        <v>687</v>
      </c>
      <c r="B396" s="59" t="s">
        <v>1062</v>
      </c>
      <c r="C396" s="59" t="s">
        <v>1608</v>
      </c>
      <c r="D396" s="59" t="s">
        <v>148</v>
      </c>
      <c r="E396" s="60">
        <v>4</v>
      </c>
      <c r="F396" s="61"/>
      <c r="G396" s="61">
        <f t="shared" si="22"/>
        <v>0</v>
      </c>
      <c r="H396" s="61">
        <f t="shared" si="23"/>
        <v>0</v>
      </c>
      <c r="I396" s="61">
        <f t="shared" si="24"/>
        <v>0</v>
      </c>
      <c r="J396" s="61">
        <v>0.00084</v>
      </c>
      <c r="K396" s="61">
        <f t="shared" si="25"/>
        <v>0.00336</v>
      </c>
      <c r="L396" s="62" t="s">
        <v>170</v>
      </c>
      <c r="M396" s="39"/>
      <c r="N396" s="39"/>
      <c r="P396" s="11">
        <f t="shared" si="26"/>
        <v>0</v>
      </c>
      <c r="R396" s="11">
        <f t="shared" si="27"/>
        <v>0</v>
      </c>
      <c r="S396" s="11">
        <f t="shared" si="28"/>
        <v>0</v>
      </c>
      <c r="T396" s="11">
        <f t="shared" si="29"/>
        <v>0</v>
      </c>
      <c r="U396" s="11">
        <f t="shared" si="30"/>
        <v>0</v>
      </c>
      <c r="V396" s="11">
        <f t="shared" si="31"/>
        <v>0</v>
      </c>
      <c r="W396" s="11">
        <f t="shared" si="32"/>
        <v>0</v>
      </c>
      <c r="X396" s="11">
        <f t="shared" si="33"/>
        <v>0</v>
      </c>
      <c r="Y396" s="6"/>
      <c r="Z396" s="4">
        <f t="shared" si="34"/>
        <v>0</v>
      </c>
      <c r="AA396" s="4">
        <f t="shared" si="35"/>
        <v>0</v>
      </c>
      <c r="AB396" s="4">
        <f t="shared" si="36"/>
        <v>0</v>
      </c>
      <c r="AD396" s="11">
        <v>21</v>
      </c>
      <c r="AE396" s="11">
        <f t="shared" si="37"/>
        <v>0</v>
      </c>
      <c r="AF396" s="11">
        <f t="shared" si="38"/>
        <v>0</v>
      </c>
      <c r="AG396" s="7" t="s">
        <v>504</v>
      </c>
      <c r="AM396" s="11">
        <f t="shared" si="39"/>
        <v>0</v>
      </c>
      <c r="AN396" s="11">
        <f t="shared" si="40"/>
        <v>0</v>
      </c>
      <c r="AO396" s="12" t="s">
        <v>198</v>
      </c>
      <c r="AP396" s="12" t="s">
        <v>227</v>
      </c>
      <c r="AQ396" s="6" t="s">
        <v>234</v>
      </c>
      <c r="AS396" s="11">
        <f t="shared" si="41"/>
        <v>0</v>
      </c>
      <c r="AT396" s="11">
        <f t="shared" si="42"/>
        <v>0</v>
      </c>
      <c r="AU396" s="11">
        <v>0</v>
      </c>
      <c r="AV396" s="11">
        <f t="shared" si="43"/>
        <v>0.00336</v>
      </c>
    </row>
    <row r="397" spans="1:48" ht="12.75">
      <c r="A397" s="59" t="s">
        <v>688</v>
      </c>
      <c r="B397" s="59" t="s">
        <v>1063</v>
      </c>
      <c r="C397" s="59" t="s">
        <v>1609</v>
      </c>
      <c r="D397" s="59" t="s">
        <v>144</v>
      </c>
      <c r="E397" s="60">
        <v>4</v>
      </c>
      <c r="F397" s="61"/>
      <c r="G397" s="61">
        <f t="shared" si="22"/>
        <v>0</v>
      </c>
      <c r="H397" s="61">
        <f t="shared" si="23"/>
        <v>0</v>
      </c>
      <c r="I397" s="61">
        <f t="shared" si="24"/>
        <v>0</v>
      </c>
      <c r="J397" s="61">
        <v>0.0075</v>
      </c>
      <c r="K397" s="61">
        <f t="shared" si="25"/>
        <v>0.03</v>
      </c>
      <c r="L397" s="62" t="s">
        <v>170</v>
      </c>
      <c r="M397" s="39"/>
      <c r="N397" s="39"/>
      <c r="P397" s="11">
        <f t="shared" si="26"/>
        <v>0</v>
      </c>
      <c r="R397" s="11">
        <f t="shared" si="27"/>
        <v>0</v>
      </c>
      <c r="S397" s="11">
        <f t="shared" si="28"/>
        <v>0</v>
      </c>
      <c r="T397" s="11">
        <f t="shared" si="29"/>
        <v>0</v>
      </c>
      <c r="U397" s="11">
        <f t="shared" si="30"/>
        <v>0</v>
      </c>
      <c r="V397" s="11">
        <f t="shared" si="31"/>
        <v>0</v>
      </c>
      <c r="W397" s="11">
        <f t="shared" si="32"/>
        <v>0</v>
      </c>
      <c r="X397" s="11">
        <f t="shared" si="33"/>
        <v>0</v>
      </c>
      <c r="Y397" s="6"/>
      <c r="Z397" s="4">
        <f t="shared" si="34"/>
        <v>0</v>
      </c>
      <c r="AA397" s="4">
        <f t="shared" si="35"/>
        <v>0</v>
      </c>
      <c r="AB397" s="4">
        <f t="shared" si="36"/>
        <v>0</v>
      </c>
      <c r="AD397" s="11">
        <v>21</v>
      </c>
      <c r="AE397" s="11">
        <f t="shared" si="37"/>
        <v>0</v>
      </c>
      <c r="AF397" s="11">
        <f t="shared" si="38"/>
        <v>0</v>
      </c>
      <c r="AG397" s="7" t="s">
        <v>504</v>
      </c>
      <c r="AM397" s="11">
        <f t="shared" si="39"/>
        <v>0</v>
      </c>
      <c r="AN397" s="11">
        <f t="shared" si="40"/>
        <v>0</v>
      </c>
      <c r="AO397" s="12" t="s">
        <v>198</v>
      </c>
      <c r="AP397" s="12" t="s">
        <v>227</v>
      </c>
      <c r="AQ397" s="6" t="s">
        <v>234</v>
      </c>
      <c r="AS397" s="11">
        <f t="shared" si="41"/>
        <v>0</v>
      </c>
      <c r="AT397" s="11">
        <f t="shared" si="42"/>
        <v>0</v>
      </c>
      <c r="AU397" s="11">
        <v>0</v>
      </c>
      <c r="AV397" s="11">
        <f t="shared" si="43"/>
        <v>0.03</v>
      </c>
    </row>
    <row r="398" spans="1:48" ht="12.75">
      <c r="A398" s="59" t="s">
        <v>689</v>
      </c>
      <c r="B398" s="59" t="s">
        <v>1064</v>
      </c>
      <c r="C398" s="59" t="s">
        <v>1610</v>
      </c>
      <c r="D398" s="59" t="s">
        <v>144</v>
      </c>
      <c r="E398" s="60">
        <v>1</v>
      </c>
      <c r="F398" s="61"/>
      <c r="G398" s="61">
        <f t="shared" si="22"/>
        <v>0</v>
      </c>
      <c r="H398" s="61">
        <f t="shared" si="23"/>
        <v>0</v>
      </c>
      <c r="I398" s="61">
        <f t="shared" si="24"/>
        <v>0</v>
      </c>
      <c r="J398" s="61">
        <v>0.00085</v>
      </c>
      <c r="K398" s="61">
        <f t="shared" si="25"/>
        <v>0.00085</v>
      </c>
      <c r="L398" s="62" t="s">
        <v>170</v>
      </c>
      <c r="M398" s="39"/>
      <c r="N398" s="39"/>
      <c r="P398" s="11">
        <f t="shared" si="26"/>
        <v>0</v>
      </c>
      <c r="R398" s="11">
        <f t="shared" si="27"/>
        <v>0</v>
      </c>
      <c r="S398" s="11">
        <f t="shared" si="28"/>
        <v>0</v>
      </c>
      <c r="T398" s="11">
        <f t="shared" si="29"/>
        <v>0</v>
      </c>
      <c r="U398" s="11">
        <f t="shared" si="30"/>
        <v>0</v>
      </c>
      <c r="V398" s="11">
        <f t="shared" si="31"/>
        <v>0</v>
      </c>
      <c r="W398" s="11">
        <f t="shared" si="32"/>
        <v>0</v>
      </c>
      <c r="X398" s="11">
        <f t="shared" si="33"/>
        <v>0</v>
      </c>
      <c r="Y398" s="6"/>
      <c r="Z398" s="4">
        <f t="shared" si="34"/>
        <v>0</v>
      </c>
      <c r="AA398" s="4">
        <f t="shared" si="35"/>
        <v>0</v>
      </c>
      <c r="AB398" s="4">
        <f t="shared" si="36"/>
        <v>0</v>
      </c>
      <c r="AD398" s="11">
        <v>21</v>
      </c>
      <c r="AE398" s="11">
        <f t="shared" si="37"/>
        <v>0</v>
      </c>
      <c r="AF398" s="11">
        <f t="shared" si="38"/>
        <v>0</v>
      </c>
      <c r="AG398" s="7" t="s">
        <v>504</v>
      </c>
      <c r="AM398" s="11">
        <f t="shared" si="39"/>
        <v>0</v>
      </c>
      <c r="AN398" s="11">
        <f t="shared" si="40"/>
        <v>0</v>
      </c>
      <c r="AO398" s="12" t="s">
        <v>198</v>
      </c>
      <c r="AP398" s="12" t="s">
        <v>227</v>
      </c>
      <c r="AQ398" s="6" t="s">
        <v>234</v>
      </c>
      <c r="AS398" s="11">
        <f t="shared" si="41"/>
        <v>0</v>
      </c>
      <c r="AT398" s="11">
        <f t="shared" si="42"/>
        <v>0</v>
      </c>
      <c r="AU398" s="11">
        <v>0</v>
      </c>
      <c r="AV398" s="11">
        <f t="shared" si="43"/>
        <v>0.00085</v>
      </c>
    </row>
    <row r="399" spans="1:48" ht="12.75">
      <c r="A399" s="59" t="s">
        <v>690</v>
      </c>
      <c r="B399" s="59" t="s">
        <v>1065</v>
      </c>
      <c r="C399" s="59" t="s">
        <v>1611</v>
      </c>
      <c r="D399" s="59" t="s">
        <v>144</v>
      </c>
      <c r="E399" s="60">
        <v>2</v>
      </c>
      <c r="F399" s="61"/>
      <c r="G399" s="61">
        <f t="shared" si="22"/>
        <v>0</v>
      </c>
      <c r="H399" s="61">
        <f t="shared" si="23"/>
        <v>0</v>
      </c>
      <c r="I399" s="61">
        <f t="shared" si="24"/>
        <v>0</v>
      </c>
      <c r="J399" s="61">
        <v>0.00164</v>
      </c>
      <c r="K399" s="61">
        <f t="shared" si="25"/>
        <v>0.00328</v>
      </c>
      <c r="L399" s="62" t="s">
        <v>170</v>
      </c>
      <c r="M399" s="39"/>
      <c r="N399" s="39"/>
      <c r="P399" s="11">
        <f t="shared" si="26"/>
        <v>0</v>
      </c>
      <c r="R399" s="11">
        <f t="shared" si="27"/>
        <v>0</v>
      </c>
      <c r="S399" s="11">
        <f t="shared" si="28"/>
        <v>0</v>
      </c>
      <c r="T399" s="11">
        <f t="shared" si="29"/>
        <v>0</v>
      </c>
      <c r="U399" s="11">
        <f t="shared" si="30"/>
        <v>0</v>
      </c>
      <c r="V399" s="11">
        <f t="shared" si="31"/>
        <v>0</v>
      </c>
      <c r="W399" s="11">
        <f t="shared" si="32"/>
        <v>0</v>
      </c>
      <c r="X399" s="11">
        <f t="shared" si="33"/>
        <v>0</v>
      </c>
      <c r="Y399" s="6"/>
      <c r="Z399" s="4">
        <f t="shared" si="34"/>
        <v>0</v>
      </c>
      <c r="AA399" s="4">
        <f t="shared" si="35"/>
        <v>0</v>
      </c>
      <c r="AB399" s="4">
        <f t="shared" si="36"/>
        <v>0</v>
      </c>
      <c r="AD399" s="11">
        <v>21</v>
      </c>
      <c r="AE399" s="11">
        <f t="shared" si="37"/>
        <v>0</v>
      </c>
      <c r="AF399" s="11">
        <f t="shared" si="38"/>
        <v>0</v>
      </c>
      <c r="AG399" s="7" t="s">
        <v>504</v>
      </c>
      <c r="AM399" s="11">
        <f t="shared" si="39"/>
        <v>0</v>
      </c>
      <c r="AN399" s="11">
        <f t="shared" si="40"/>
        <v>0</v>
      </c>
      <c r="AO399" s="12" t="s">
        <v>198</v>
      </c>
      <c r="AP399" s="12" t="s">
        <v>227</v>
      </c>
      <c r="AQ399" s="6" t="s">
        <v>234</v>
      </c>
      <c r="AS399" s="11">
        <f t="shared" si="41"/>
        <v>0</v>
      </c>
      <c r="AT399" s="11">
        <f t="shared" si="42"/>
        <v>0</v>
      </c>
      <c r="AU399" s="11">
        <v>0</v>
      </c>
      <c r="AV399" s="11">
        <f t="shared" si="43"/>
        <v>0.00328</v>
      </c>
    </row>
    <row r="400" spans="1:48" ht="12.75">
      <c r="A400" s="59" t="s">
        <v>691</v>
      </c>
      <c r="B400" s="59" t="s">
        <v>1066</v>
      </c>
      <c r="C400" s="59" t="s">
        <v>1612</v>
      </c>
      <c r="D400" s="59" t="s">
        <v>144</v>
      </c>
      <c r="E400" s="60">
        <v>4</v>
      </c>
      <c r="F400" s="61"/>
      <c r="G400" s="61">
        <f t="shared" si="22"/>
        <v>0</v>
      </c>
      <c r="H400" s="61">
        <f t="shared" si="23"/>
        <v>0</v>
      </c>
      <c r="I400" s="61">
        <f t="shared" si="24"/>
        <v>0</v>
      </c>
      <c r="J400" s="61">
        <v>0.00102</v>
      </c>
      <c r="K400" s="61">
        <f t="shared" si="25"/>
        <v>0.00408</v>
      </c>
      <c r="L400" s="62" t="s">
        <v>170</v>
      </c>
      <c r="M400" s="39"/>
      <c r="N400" s="39"/>
      <c r="P400" s="11">
        <f t="shared" si="26"/>
        <v>0</v>
      </c>
      <c r="R400" s="11">
        <f t="shared" si="27"/>
        <v>0</v>
      </c>
      <c r="S400" s="11">
        <f t="shared" si="28"/>
        <v>0</v>
      </c>
      <c r="T400" s="11">
        <f t="shared" si="29"/>
        <v>0</v>
      </c>
      <c r="U400" s="11">
        <f t="shared" si="30"/>
        <v>0</v>
      </c>
      <c r="V400" s="11">
        <f t="shared" si="31"/>
        <v>0</v>
      </c>
      <c r="W400" s="11">
        <f t="shared" si="32"/>
        <v>0</v>
      </c>
      <c r="X400" s="11">
        <f t="shared" si="33"/>
        <v>0</v>
      </c>
      <c r="Y400" s="6"/>
      <c r="Z400" s="4">
        <f t="shared" si="34"/>
        <v>0</v>
      </c>
      <c r="AA400" s="4">
        <f t="shared" si="35"/>
        <v>0</v>
      </c>
      <c r="AB400" s="4">
        <f t="shared" si="36"/>
        <v>0</v>
      </c>
      <c r="AD400" s="11">
        <v>21</v>
      </c>
      <c r="AE400" s="11">
        <f t="shared" si="37"/>
        <v>0</v>
      </c>
      <c r="AF400" s="11">
        <f t="shared" si="38"/>
        <v>0</v>
      </c>
      <c r="AG400" s="7" t="s">
        <v>504</v>
      </c>
      <c r="AM400" s="11">
        <f t="shared" si="39"/>
        <v>0</v>
      </c>
      <c r="AN400" s="11">
        <f t="shared" si="40"/>
        <v>0</v>
      </c>
      <c r="AO400" s="12" t="s">
        <v>198</v>
      </c>
      <c r="AP400" s="12" t="s">
        <v>227</v>
      </c>
      <c r="AQ400" s="6" t="s">
        <v>234</v>
      </c>
      <c r="AS400" s="11">
        <f t="shared" si="41"/>
        <v>0</v>
      </c>
      <c r="AT400" s="11">
        <f t="shared" si="42"/>
        <v>0</v>
      </c>
      <c r="AU400" s="11">
        <v>0</v>
      </c>
      <c r="AV400" s="11">
        <f t="shared" si="43"/>
        <v>0.00408</v>
      </c>
    </row>
    <row r="401" spans="1:48" ht="12.75">
      <c r="A401" s="59" t="s">
        <v>692</v>
      </c>
      <c r="B401" s="59" t="s">
        <v>1067</v>
      </c>
      <c r="C401" s="59" t="s">
        <v>1613</v>
      </c>
      <c r="D401" s="59" t="s">
        <v>144</v>
      </c>
      <c r="E401" s="60">
        <v>2</v>
      </c>
      <c r="F401" s="61"/>
      <c r="G401" s="61">
        <f t="shared" si="22"/>
        <v>0</v>
      </c>
      <c r="H401" s="61">
        <f t="shared" si="23"/>
        <v>0</v>
      </c>
      <c r="I401" s="61">
        <f t="shared" si="24"/>
        <v>0</v>
      </c>
      <c r="J401" s="61">
        <v>0.00172</v>
      </c>
      <c r="K401" s="61">
        <f t="shared" si="25"/>
        <v>0.00344</v>
      </c>
      <c r="L401" s="62" t="s">
        <v>170</v>
      </c>
      <c r="M401" s="39"/>
      <c r="N401" s="39"/>
      <c r="P401" s="11">
        <f t="shared" si="26"/>
        <v>0</v>
      </c>
      <c r="R401" s="11">
        <f t="shared" si="27"/>
        <v>0</v>
      </c>
      <c r="S401" s="11">
        <f t="shared" si="28"/>
        <v>0</v>
      </c>
      <c r="T401" s="11">
        <f t="shared" si="29"/>
        <v>0</v>
      </c>
      <c r="U401" s="11">
        <f t="shared" si="30"/>
        <v>0</v>
      </c>
      <c r="V401" s="11">
        <f t="shared" si="31"/>
        <v>0</v>
      </c>
      <c r="W401" s="11">
        <f t="shared" si="32"/>
        <v>0</v>
      </c>
      <c r="X401" s="11">
        <f t="shared" si="33"/>
        <v>0</v>
      </c>
      <c r="Y401" s="6"/>
      <c r="Z401" s="4">
        <f t="shared" si="34"/>
        <v>0</v>
      </c>
      <c r="AA401" s="4">
        <f t="shared" si="35"/>
        <v>0</v>
      </c>
      <c r="AB401" s="4">
        <f t="shared" si="36"/>
        <v>0</v>
      </c>
      <c r="AD401" s="11">
        <v>21</v>
      </c>
      <c r="AE401" s="11">
        <f t="shared" si="37"/>
        <v>0</v>
      </c>
      <c r="AF401" s="11">
        <f t="shared" si="38"/>
        <v>0</v>
      </c>
      <c r="AG401" s="7" t="s">
        <v>504</v>
      </c>
      <c r="AM401" s="11">
        <f t="shared" si="39"/>
        <v>0</v>
      </c>
      <c r="AN401" s="11">
        <f t="shared" si="40"/>
        <v>0</v>
      </c>
      <c r="AO401" s="12" t="s">
        <v>198</v>
      </c>
      <c r="AP401" s="12" t="s">
        <v>227</v>
      </c>
      <c r="AQ401" s="6" t="s">
        <v>234</v>
      </c>
      <c r="AS401" s="11">
        <f t="shared" si="41"/>
        <v>0</v>
      </c>
      <c r="AT401" s="11">
        <f t="shared" si="42"/>
        <v>0</v>
      </c>
      <c r="AU401" s="11">
        <v>0</v>
      </c>
      <c r="AV401" s="11">
        <f t="shared" si="43"/>
        <v>0.00344</v>
      </c>
    </row>
    <row r="402" spans="1:48" ht="12.75">
      <c r="A402" s="59" t="s">
        <v>693</v>
      </c>
      <c r="B402" s="59" t="s">
        <v>1068</v>
      </c>
      <c r="C402" s="59" t="s">
        <v>1614</v>
      </c>
      <c r="D402" s="59" t="s">
        <v>144</v>
      </c>
      <c r="E402" s="60">
        <v>3</v>
      </c>
      <c r="F402" s="61"/>
      <c r="G402" s="61">
        <f t="shared" si="22"/>
        <v>0</v>
      </c>
      <c r="H402" s="61">
        <f t="shared" si="23"/>
        <v>0</v>
      </c>
      <c r="I402" s="61">
        <f t="shared" si="24"/>
        <v>0</v>
      </c>
      <c r="J402" s="61">
        <v>0.00152</v>
      </c>
      <c r="K402" s="61">
        <f t="shared" si="25"/>
        <v>0.00456</v>
      </c>
      <c r="L402" s="62" t="s">
        <v>170</v>
      </c>
      <c r="M402" s="39"/>
      <c r="N402" s="39"/>
      <c r="P402" s="11">
        <f t="shared" si="26"/>
        <v>0</v>
      </c>
      <c r="R402" s="11">
        <f t="shared" si="27"/>
        <v>0</v>
      </c>
      <c r="S402" s="11">
        <f t="shared" si="28"/>
        <v>0</v>
      </c>
      <c r="T402" s="11">
        <f t="shared" si="29"/>
        <v>0</v>
      </c>
      <c r="U402" s="11">
        <f t="shared" si="30"/>
        <v>0</v>
      </c>
      <c r="V402" s="11">
        <f t="shared" si="31"/>
        <v>0</v>
      </c>
      <c r="W402" s="11">
        <f t="shared" si="32"/>
        <v>0</v>
      </c>
      <c r="X402" s="11">
        <f t="shared" si="33"/>
        <v>0</v>
      </c>
      <c r="Y402" s="6"/>
      <c r="Z402" s="4">
        <f t="shared" si="34"/>
        <v>0</v>
      </c>
      <c r="AA402" s="4">
        <f t="shared" si="35"/>
        <v>0</v>
      </c>
      <c r="AB402" s="4">
        <f t="shared" si="36"/>
        <v>0</v>
      </c>
      <c r="AD402" s="11">
        <v>21</v>
      </c>
      <c r="AE402" s="11">
        <f t="shared" si="37"/>
        <v>0</v>
      </c>
      <c r="AF402" s="11">
        <f t="shared" si="38"/>
        <v>0</v>
      </c>
      <c r="AG402" s="7" t="s">
        <v>504</v>
      </c>
      <c r="AM402" s="11">
        <f t="shared" si="39"/>
        <v>0</v>
      </c>
      <c r="AN402" s="11">
        <f t="shared" si="40"/>
        <v>0</v>
      </c>
      <c r="AO402" s="12" t="s">
        <v>198</v>
      </c>
      <c r="AP402" s="12" t="s">
        <v>227</v>
      </c>
      <c r="AQ402" s="6" t="s">
        <v>234</v>
      </c>
      <c r="AS402" s="11">
        <f t="shared" si="41"/>
        <v>0</v>
      </c>
      <c r="AT402" s="11">
        <f t="shared" si="42"/>
        <v>0</v>
      </c>
      <c r="AU402" s="11">
        <v>0</v>
      </c>
      <c r="AV402" s="11">
        <f t="shared" si="43"/>
        <v>0.00456</v>
      </c>
    </row>
    <row r="403" spans="1:48" ht="12.75">
      <c r="A403" s="59" t="s">
        <v>694</v>
      </c>
      <c r="B403" s="59" t="s">
        <v>1069</v>
      </c>
      <c r="C403" s="59" t="s">
        <v>1615</v>
      </c>
      <c r="D403" s="59" t="s">
        <v>144</v>
      </c>
      <c r="E403" s="60">
        <v>3</v>
      </c>
      <c r="F403" s="61"/>
      <c r="G403" s="61">
        <f t="shared" si="22"/>
        <v>0</v>
      </c>
      <c r="H403" s="61">
        <f t="shared" si="23"/>
        <v>0</v>
      </c>
      <c r="I403" s="61">
        <f t="shared" si="24"/>
        <v>0</v>
      </c>
      <c r="J403" s="61">
        <v>2E-05</v>
      </c>
      <c r="K403" s="61">
        <f t="shared" si="25"/>
        <v>6.000000000000001E-05</v>
      </c>
      <c r="L403" s="62" t="s">
        <v>170</v>
      </c>
      <c r="M403" s="39"/>
      <c r="N403" s="39"/>
      <c r="P403" s="11">
        <f t="shared" si="26"/>
        <v>0</v>
      </c>
      <c r="R403" s="11">
        <f t="shared" si="27"/>
        <v>0</v>
      </c>
      <c r="S403" s="11">
        <f t="shared" si="28"/>
        <v>0</v>
      </c>
      <c r="T403" s="11">
        <f t="shared" si="29"/>
        <v>0</v>
      </c>
      <c r="U403" s="11">
        <f t="shared" si="30"/>
        <v>0</v>
      </c>
      <c r="V403" s="11">
        <f t="shared" si="31"/>
        <v>0</v>
      </c>
      <c r="W403" s="11">
        <f t="shared" si="32"/>
        <v>0</v>
      </c>
      <c r="X403" s="11">
        <f t="shared" si="33"/>
        <v>0</v>
      </c>
      <c r="Y403" s="6"/>
      <c r="Z403" s="4">
        <f t="shared" si="34"/>
        <v>0</v>
      </c>
      <c r="AA403" s="4">
        <f t="shared" si="35"/>
        <v>0</v>
      </c>
      <c r="AB403" s="4">
        <f t="shared" si="36"/>
        <v>0</v>
      </c>
      <c r="AD403" s="11">
        <v>21</v>
      </c>
      <c r="AE403" s="11">
        <f t="shared" si="37"/>
        <v>0</v>
      </c>
      <c r="AF403" s="11">
        <f t="shared" si="38"/>
        <v>0</v>
      </c>
      <c r="AG403" s="7" t="s">
        <v>504</v>
      </c>
      <c r="AM403" s="11">
        <f t="shared" si="39"/>
        <v>0</v>
      </c>
      <c r="AN403" s="11">
        <f t="shared" si="40"/>
        <v>0</v>
      </c>
      <c r="AO403" s="12" t="s">
        <v>198</v>
      </c>
      <c r="AP403" s="12" t="s">
        <v>227</v>
      </c>
      <c r="AQ403" s="6" t="s">
        <v>234</v>
      </c>
      <c r="AS403" s="11">
        <f t="shared" si="41"/>
        <v>0</v>
      </c>
      <c r="AT403" s="11">
        <f t="shared" si="42"/>
        <v>0</v>
      </c>
      <c r="AU403" s="11">
        <v>0</v>
      </c>
      <c r="AV403" s="11">
        <f t="shared" si="43"/>
        <v>6.000000000000001E-05</v>
      </c>
    </row>
    <row r="404" spans="1:48" ht="12.75">
      <c r="A404" s="59" t="s">
        <v>695</v>
      </c>
      <c r="B404" s="59" t="s">
        <v>1070</v>
      </c>
      <c r="C404" s="59" t="s">
        <v>1616</v>
      </c>
      <c r="D404" s="59" t="s">
        <v>148</v>
      </c>
      <c r="E404" s="60">
        <v>2</v>
      </c>
      <c r="F404" s="61"/>
      <c r="G404" s="61">
        <f t="shared" si="22"/>
        <v>0</v>
      </c>
      <c r="H404" s="61">
        <f t="shared" si="23"/>
        <v>0</v>
      </c>
      <c r="I404" s="61">
        <f t="shared" si="24"/>
        <v>0</v>
      </c>
      <c r="J404" s="61">
        <v>0.00186</v>
      </c>
      <c r="K404" s="61">
        <f t="shared" si="25"/>
        <v>0.00372</v>
      </c>
      <c r="L404" s="62" t="s">
        <v>170</v>
      </c>
      <c r="M404" s="39"/>
      <c r="N404" s="39"/>
      <c r="P404" s="11">
        <f t="shared" si="26"/>
        <v>0</v>
      </c>
      <c r="R404" s="11">
        <f t="shared" si="27"/>
        <v>0</v>
      </c>
      <c r="S404" s="11">
        <f t="shared" si="28"/>
        <v>0</v>
      </c>
      <c r="T404" s="11">
        <f t="shared" si="29"/>
        <v>0</v>
      </c>
      <c r="U404" s="11">
        <f t="shared" si="30"/>
        <v>0</v>
      </c>
      <c r="V404" s="11">
        <f t="shared" si="31"/>
        <v>0</v>
      </c>
      <c r="W404" s="11">
        <f t="shared" si="32"/>
        <v>0</v>
      </c>
      <c r="X404" s="11">
        <f t="shared" si="33"/>
        <v>0</v>
      </c>
      <c r="Y404" s="6"/>
      <c r="Z404" s="4">
        <f t="shared" si="34"/>
        <v>0</v>
      </c>
      <c r="AA404" s="4">
        <f t="shared" si="35"/>
        <v>0</v>
      </c>
      <c r="AB404" s="4">
        <f t="shared" si="36"/>
        <v>0</v>
      </c>
      <c r="AD404" s="11">
        <v>21</v>
      </c>
      <c r="AE404" s="11">
        <f t="shared" si="37"/>
        <v>0</v>
      </c>
      <c r="AF404" s="11">
        <f t="shared" si="38"/>
        <v>0</v>
      </c>
      <c r="AG404" s="7" t="s">
        <v>504</v>
      </c>
      <c r="AM404" s="11">
        <f t="shared" si="39"/>
        <v>0</v>
      </c>
      <c r="AN404" s="11">
        <f t="shared" si="40"/>
        <v>0</v>
      </c>
      <c r="AO404" s="12" t="s">
        <v>198</v>
      </c>
      <c r="AP404" s="12" t="s">
        <v>227</v>
      </c>
      <c r="AQ404" s="6" t="s">
        <v>234</v>
      </c>
      <c r="AS404" s="11">
        <f t="shared" si="41"/>
        <v>0</v>
      </c>
      <c r="AT404" s="11">
        <f t="shared" si="42"/>
        <v>0</v>
      </c>
      <c r="AU404" s="11">
        <v>0</v>
      </c>
      <c r="AV404" s="11">
        <f t="shared" si="43"/>
        <v>0.00372</v>
      </c>
    </row>
    <row r="405" spans="1:48" ht="12.75">
      <c r="A405" s="59" t="s">
        <v>696</v>
      </c>
      <c r="B405" s="59" t="s">
        <v>1071</v>
      </c>
      <c r="C405" s="59" t="s">
        <v>1617</v>
      </c>
      <c r="D405" s="59" t="s">
        <v>144</v>
      </c>
      <c r="E405" s="60">
        <v>2</v>
      </c>
      <c r="F405" s="61"/>
      <c r="G405" s="61">
        <f t="shared" si="22"/>
        <v>0</v>
      </c>
      <c r="H405" s="61">
        <f t="shared" si="23"/>
        <v>0</v>
      </c>
      <c r="I405" s="61">
        <f t="shared" si="24"/>
        <v>0</v>
      </c>
      <c r="J405" s="61">
        <v>0.012</v>
      </c>
      <c r="K405" s="61">
        <f t="shared" si="25"/>
        <v>0.024</v>
      </c>
      <c r="L405" s="62" t="s">
        <v>170</v>
      </c>
      <c r="M405" s="39"/>
      <c r="N405" s="39"/>
      <c r="P405" s="11">
        <f t="shared" si="26"/>
        <v>0</v>
      </c>
      <c r="R405" s="11">
        <f t="shared" si="27"/>
        <v>0</v>
      </c>
      <c r="S405" s="11">
        <f t="shared" si="28"/>
        <v>0</v>
      </c>
      <c r="T405" s="11">
        <f t="shared" si="29"/>
        <v>0</v>
      </c>
      <c r="U405" s="11">
        <f t="shared" si="30"/>
        <v>0</v>
      </c>
      <c r="V405" s="11">
        <f t="shared" si="31"/>
        <v>0</v>
      </c>
      <c r="W405" s="11">
        <f t="shared" si="32"/>
        <v>0</v>
      </c>
      <c r="X405" s="11">
        <f t="shared" si="33"/>
        <v>0</v>
      </c>
      <c r="Y405" s="6"/>
      <c r="Z405" s="4">
        <f t="shared" si="34"/>
        <v>0</v>
      </c>
      <c r="AA405" s="4">
        <f t="shared" si="35"/>
        <v>0</v>
      </c>
      <c r="AB405" s="4">
        <f t="shared" si="36"/>
        <v>0</v>
      </c>
      <c r="AD405" s="11">
        <v>21</v>
      </c>
      <c r="AE405" s="11">
        <f t="shared" si="37"/>
        <v>0</v>
      </c>
      <c r="AF405" s="11">
        <f t="shared" si="38"/>
        <v>0</v>
      </c>
      <c r="AG405" s="7" t="s">
        <v>504</v>
      </c>
      <c r="AM405" s="11">
        <f t="shared" si="39"/>
        <v>0</v>
      </c>
      <c r="AN405" s="11">
        <f t="shared" si="40"/>
        <v>0</v>
      </c>
      <c r="AO405" s="12" t="s">
        <v>198</v>
      </c>
      <c r="AP405" s="12" t="s">
        <v>227</v>
      </c>
      <c r="AQ405" s="6" t="s">
        <v>234</v>
      </c>
      <c r="AS405" s="11">
        <f t="shared" si="41"/>
        <v>0</v>
      </c>
      <c r="AT405" s="11">
        <f t="shared" si="42"/>
        <v>0</v>
      </c>
      <c r="AU405" s="11">
        <v>0</v>
      </c>
      <c r="AV405" s="11">
        <f t="shared" si="43"/>
        <v>0.024</v>
      </c>
    </row>
    <row r="406" spans="1:48" ht="12.75">
      <c r="A406" s="59" t="s">
        <v>697</v>
      </c>
      <c r="B406" s="59" t="s">
        <v>1072</v>
      </c>
      <c r="C406" s="59" t="s">
        <v>1618</v>
      </c>
      <c r="D406" s="59" t="s">
        <v>144</v>
      </c>
      <c r="E406" s="60">
        <v>1</v>
      </c>
      <c r="F406" s="61"/>
      <c r="G406" s="61">
        <f t="shared" si="22"/>
        <v>0</v>
      </c>
      <c r="H406" s="61">
        <f t="shared" si="23"/>
        <v>0</v>
      </c>
      <c r="I406" s="61">
        <f t="shared" si="24"/>
        <v>0</v>
      </c>
      <c r="J406" s="61">
        <v>0.00073</v>
      </c>
      <c r="K406" s="61">
        <f t="shared" si="25"/>
        <v>0.00073</v>
      </c>
      <c r="L406" s="62" t="s">
        <v>170</v>
      </c>
      <c r="M406" s="39"/>
      <c r="N406" s="39"/>
      <c r="P406" s="11">
        <f t="shared" si="26"/>
        <v>0</v>
      </c>
      <c r="R406" s="11">
        <f t="shared" si="27"/>
        <v>0</v>
      </c>
      <c r="S406" s="11">
        <f t="shared" si="28"/>
        <v>0</v>
      </c>
      <c r="T406" s="11">
        <f t="shared" si="29"/>
        <v>0</v>
      </c>
      <c r="U406" s="11">
        <f t="shared" si="30"/>
        <v>0</v>
      </c>
      <c r="V406" s="11">
        <f t="shared" si="31"/>
        <v>0</v>
      </c>
      <c r="W406" s="11">
        <f t="shared" si="32"/>
        <v>0</v>
      </c>
      <c r="X406" s="11">
        <f t="shared" si="33"/>
        <v>0</v>
      </c>
      <c r="Y406" s="6"/>
      <c r="Z406" s="4">
        <f t="shared" si="34"/>
        <v>0</v>
      </c>
      <c r="AA406" s="4">
        <f t="shared" si="35"/>
        <v>0</v>
      </c>
      <c r="AB406" s="4">
        <f t="shared" si="36"/>
        <v>0</v>
      </c>
      <c r="AD406" s="11">
        <v>21</v>
      </c>
      <c r="AE406" s="11">
        <f t="shared" si="37"/>
        <v>0</v>
      </c>
      <c r="AF406" s="11">
        <f t="shared" si="38"/>
        <v>0</v>
      </c>
      <c r="AG406" s="7" t="s">
        <v>504</v>
      </c>
      <c r="AM406" s="11">
        <f t="shared" si="39"/>
        <v>0</v>
      </c>
      <c r="AN406" s="11">
        <f t="shared" si="40"/>
        <v>0</v>
      </c>
      <c r="AO406" s="12" t="s">
        <v>198</v>
      </c>
      <c r="AP406" s="12" t="s">
        <v>227</v>
      </c>
      <c r="AQ406" s="6" t="s">
        <v>234</v>
      </c>
      <c r="AS406" s="11">
        <f t="shared" si="41"/>
        <v>0</v>
      </c>
      <c r="AT406" s="11">
        <f t="shared" si="42"/>
        <v>0</v>
      </c>
      <c r="AU406" s="11">
        <v>0</v>
      </c>
      <c r="AV406" s="11">
        <f t="shared" si="43"/>
        <v>0.00073</v>
      </c>
    </row>
    <row r="407" spans="1:48" ht="12.75">
      <c r="A407" s="59" t="s">
        <v>698</v>
      </c>
      <c r="B407" s="59" t="s">
        <v>1073</v>
      </c>
      <c r="C407" s="59" t="s">
        <v>1619</v>
      </c>
      <c r="D407" s="59" t="s">
        <v>148</v>
      </c>
      <c r="E407" s="60">
        <v>26</v>
      </c>
      <c r="F407" s="61"/>
      <c r="G407" s="61">
        <f t="shared" si="22"/>
        <v>0</v>
      </c>
      <c r="H407" s="61">
        <f t="shared" si="23"/>
        <v>0</v>
      </c>
      <c r="I407" s="61">
        <f t="shared" si="24"/>
        <v>0</v>
      </c>
      <c r="J407" s="61">
        <v>0.00017</v>
      </c>
      <c r="K407" s="61">
        <f t="shared" si="25"/>
        <v>0.00442</v>
      </c>
      <c r="L407" s="62" t="s">
        <v>170</v>
      </c>
      <c r="M407" s="39"/>
      <c r="N407" s="39"/>
      <c r="P407" s="11">
        <f t="shared" si="26"/>
        <v>0</v>
      </c>
      <c r="R407" s="11">
        <f t="shared" si="27"/>
        <v>0</v>
      </c>
      <c r="S407" s="11">
        <f t="shared" si="28"/>
        <v>0</v>
      </c>
      <c r="T407" s="11">
        <f t="shared" si="29"/>
        <v>0</v>
      </c>
      <c r="U407" s="11">
        <f t="shared" si="30"/>
        <v>0</v>
      </c>
      <c r="V407" s="11">
        <f t="shared" si="31"/>
        <v>0</v>
      </c>
      <c r="W407" s="11">
        <f t="shared" si="32"/>
        <v>0</v>
      </c>
      <c r="X407" s="11">
        <f t="shared" si="33"/>
        <v>0</v>
      </c>
      <c r="Y407" s="6"/>
      <c r="Z407" s="4">
        <f t="shared" si="34"/>
        <v>0</v>
      </c>
      <c r="AA407" s="4">
        <f t="shared" si="35"/>
        <v>0</v>
      </c>
      <c r="AB407" s="4">
        <f t="shared" si="36"/>
        <v>0</v>
      </c>
      <c r="AD407" s="11">
        <v>21</v>
      </c>
      <c r="AE407" s="11">
        <f t="shared" si="37"/>
        <v>0</v>
      </c>
      <c r="AF407" s="11">
        <f t="shared" si="38"/>
        <v>0</v>
      </c>
      <c r="AG407" s="7" t="s">
        <v>504</v>
      </c>
      <c r="AM407" s="11">
        <f t="shared" si="39"/>
        <v>0</v>
      </c>
      <c r="AN407" s="11">
        <f t="shared" si="40"/>
        <v>0</v>
      </c>
      <c r="AO407" s="12" t="s">
        <v>198</v>
      </c>
      <c r="AP407" s="12" t="s">
        <v>227</v>
      </c>
      <c r="AQ407" s="6" t="s">
        <v>234</v>
      </c>
      <c r="AS407" s="11">
        <f t="shared" si="41"/>
        <v>0</v>
      </c>
      <c r="AT407" s="11">
        <f t="shared" si="42"/>
        <v>0</v>
      </c>
      <c r="AU407" s="11">
        <v>0</v>
      </c>
      <c r="AV407" s="11">
        <f t="shared" si="43"/>
        <v>0.00442</v>
      </c>
    </row>
    <row r="408" spans="1:48" ht="12.75">
      <c r="A408" s="59" t="s">
        <v>699</v>
      </c>
      <c r="B408" s="59" t="s">
        <v>1074</v>
      </c>
      <c r="C408" s="59" t="s">
        <v>1620</v>
      </c>
      <c r="D408" s="59" t="s">
        <v>144</v>
      </c>
      <c r="E408" s="60">
        <v>26</v>
      </c>
      <c r="F408" s="61"/>
      <c r="G408" s="61">
        <f t="shared" si="22"/>
        <v>0</v>
      </c>
      <c r="H408" s="61">
        <f t="shared" si="23"/>
        <v>0</v>
      </c>
      <c r="I408" s="61">
        <f t="shared" si="24"/>
        <v>0</v>
      </c>
      <c r="J408" s="61">
        <v>0.00105</v>
      </c>
      <c r="K408" s="61">
        <f t="shared" si="25"/>
        <v>0.027299999999999998</v>
      </c>
      <c r="L408" s="62" t="s">
        <v>170</v>
      </c>
      <c r="M408" s="39"/>
      <c r="N408" s="39"/>
      <c r="P408" s="11">
        <f t="shared" si="26"/>
        <v>0</v>
      </c>
      <c r="R408" s="11">
        <f t="shared" si="27"/>
        <v>0</v>
      </c>
      <c r="S408" s="11">
        <f t="shared" si="28"/>
        <v>0</v>
      </c>
      <c r="T408" s="11">
        <f t="shared" si="29"/>
        <v>0</v>
      </c>
      <c r="U408" s="11">
        <f t="shared" si="30"/>
        <v>0</v>
      </c>
      <c r="V408" s="11">
        <f t="shared" si="31"/>
        <v>0</v>
      </c>
      <c r="W408" s="11">
        <f t="shared" si="32"/>
        <v>0</v>
      </c>
      <c r="X408" s="11">
        <f t="shared" si="33"/>
        <v>0</v>
      </c>
      <c r="Y408" s="6"/>
      <c r="Z408" s="4">
        <f t="shared" si="34"/>
        <v>0</v>
      </c>
      <c r="AA408" s="4">
        <f t="shared" si="35"/>
        <v>0</v>
      </c>
      <c r="AB408" s="4">
        <f t="shared" si="36"/>
        <v>0</v>
      </c>
      <c r="AD408" s="11">
        <v>21</v>
      </c>
      <c r="AE408" s="11">
        <f t="shared" si="37"/>
        <v>0</v>
      </c>
      <c r="AF408" s="11">
        <f t="shared" si="38"/>
        <v>0</v>
      </c>
      <c r="AG408" s="7" t="s">
        <v>504</v>
      </c>
      <c r="AM408" s="11">
        <f t="shared" si="39"/>
        <v>0</v>
      </c>
      <c r="AN408" s="11">
        <f t="shared" si="40"/>
        <v>0</v>
      </c>
      <c r="AO408" s="12" t="s">
        <v>198</v>
      </c>
      <c r="AP408" s="12" t="s">
        <v>227</v>
      </c>
      <c r="AQ408" s="6" t="s">
        <v>234</v>
      </c>
      <c r="AS408" s="11">
        <f t="shared" si="41"/>
        <v>0</v>
      </c>
      <c r="AT408" s="11">
        <f t="shared" si="42"/>
        <v>0</v>
      </c>
      <c r="AU408" s="11">
        <v>0</v>
      </c>
      <c r="AV408" s="11">
        <f t="shared" si="43"/>
        <v>0.027299999999999998</v>
      </c>
    </row>
    <row r="409" spans="1:37" ht="12.75">
      <c r="A409" s="66"/>
      <c r="B409" s="67" t="s">
        <v>1075</v>
      </c>
      <c r="C409" s="305" t="s">
        <v>1621</v>
      </c>
      <c r="D409" s="306"/>
      <c r="E409" s="306"/>
      <c r="F409" s="306"/>
      <c r="G409" s="68">
        <f>SUM(G410:G417)</f>
        <v>0</v>
      </c>
      <c r="H409" s="68">
        <f>SUM(H410:H417)</f>
        <v>0</v>
      </c>
      <c r="I409" s="68">
        <f>G409+H409</f>
        <v>0</v>
      </c>
      <c r="J409" s="69"/>
      <c r="K409" s="68">
        <f>SUM(K410:K417)</f>
        <v>1.3461400000000001</v>
      </c>
      <c r="L409" s="69"/>
      <c r="M409" s="39"/>
      <c r="N409" s="39"/>
      <c r="Y409" s="6"/>
      <c r="AI409" s="13">
        <f>SUM(Z410:Z417)</f>
        <v>0</v>
      </c>
      <c r="AJ409" s="13">
        <f>SUM(AA410:AA417)</f>
        <v>0</v>
      </c>
      <c r="AK409" s="13">
        <f>SUM(AB410:AB417)</f>
        <v>0</v>
      </c>
    </row>
    <row r="410" spans="1:48" ht="12.75">
      <c r="A410" s="59" t="s">
        <v>700</v>
      </c>
      <c r="B410" s="59" t="s">
        <v>1076</v>
      </c>
      <c r="C410" s="59" t="s">
        <v>1622</v>
      </c>
      <c r="D410" s="59" t="s">
        <v>148</v>
      </c>
      <c r="E410" s="60">
        <v>1</v>
      </c>
      <c r="F410" s="61"/>
      <c r="G410" s="61">
        <f aca="true" t="shared" si="44" ref="G410:G417">E410*AE410</f>
        <v>0</v>
      </c>
      <c r="H410" s="61">
        <f aca="true" t="shared" si="45" ref="H410:H417">I410-G410</f>
        <v>0</v>
      </c>
      <c r="I410" s="61">
        <f aca="true" t="shared" si="46" ref="I410:I417">E410*F410</f>
        <v>0</v>
      </c>
      <c r="J410" s="61">
        <v>0.00932</v>
      </c>
      <c r="K410" s="61">
        <f aca="true" t="shared" si="47" ref="K410:K417">E410*J410</f>
        <v>0.00932</v>
      </c>
      <c r="L410" s="62" t="s">
        <v>170</v>
      </c>
      <c r="M410" s="39"/>
      <c r="N410" s="39"/>
      <c r="P410" s="11">
        <f aca="true" t="shared" si="48" ref="P410:P417">IF(AG410="5",I410,0)</f>
        <v>0</v>
      </c>
      <c r="R410" s="11">
        <f aca="true" t="shared" si="49" ref="R410:R417">IF(AG410="1",G410,0)</f>
        <v>0</v>
      </c>
      <c r="S410" s="11">
        <f aca="true" t="shared" si="50" ref="S410:S417">IF(AG410="1",H410,0)</f>
        <v>0</v>
      </c>
      <c r="T410" s="11">
        <f aca="true" t="shared" si="51" ref="T410:T417">IF(AG410="7",G410,0)</f>
        <v>0</v>
      </c>
      <c r="U410" s="11">
        <f aca="true" t="shared" si="52" ref="U410:U417">IF(AG410="7",H410,0)</f>
        <v>0</v>
      </c>
      <c r="V410" s="11">
        <f aca="true" t="shared" si="53" ref="V410:V417">IF(AG410="2",G410,0)</f>
        <v>0</v>
      </c>
      <c r="W410" s="11">
        <f aca="true" t="shared" si="54" ref="W410:W417">IF(AG410="2",H410,0)</f>
        <v>0</v>
      </c>
      <c r="X410" s="11">
        <f aca="true" t="shared" si="55" ref="X410:X417">IF(AG410="0",I410,0)</f>
        <v>0</v>
      </c>
      <c r="Y410" s="6"/>
      <c r="Z410" s="4">
        <f aca="true" t="shared" si="56" ref="Z410:Z417">IF(AD410=0,I410,0)</f>
        <v>0</v>
      </c>
      <c r="AA410" s="4">
        <f aca="true" t="shared" si="57" ref="AA410:AA417">IF(AD410=15,I410,0)</f>
        <v>0</v>
      </c>
      <c r="AB410" s="4">
        <f aca="true" t="shared" si="58" ref="AB410:AB417">IF(AD410=21,I410,0)</f>
        <v>0</v>
      </c>
      <c r="AD410" s="11">
        <v>21</v>
      </c>
      <c r="AE410" s="11">
        <f aca="true" t="shared" si="59" ref="AE410:AE417">F410*0</f>
        <v>0</v>
      </c>
      <c r="AF410" s="11">
        <f aca="true" t="shared" si="60" ref="AF410:AF417">F410*(1-0)</f>
        <v>0</v>
      </c>
      <c r="AG410" s="7" t="s">
        <v>504</v>
      </c>
      <c r="AM410" s="11">
        <f aca="true" t="shared" si="61" ref="AM410:AM417">E410*AE410</f>
        <v>0</v>
      </c>
      <c r="AN410" s="11">
        <f aca="true" t="shared" si="62" ref="AN410:AN417">E410*AF410</f>
        <v>0</v>
      </c>
      <c r="AO410" s="12" t="s">
        <v>199</v>
      </c>
      <c r="AP410" s="12" t="s">
        <v>228</v>
      </c>
      <c r="AQ410" s="6" t="s">
        <v>234</v>
      </c>
      <c r="AS410" s="11">
        <f aca="true" t="shared" si="63" ref="AS410:AS417">AM410+AN410</f>
        <v>0</v>
      </c>
      <c r="AT410" s="11">
        <f aca="true" t="shared" si="64" ref="AT410:AT417">F410/(100-AU410)*100</f>
        <v>0</v>
      </c>
      <c r="AU410" s="11">
        <v>0</v>
      </c>
      <c r="AV410" s="11">
        <f aca="true" t="shared" si="65" ref="AV410:AV417">K410</f>
        <v>0.00932</v>
      </c>
    </row>
    <row r="411" spans="1:48" ht="12.75">
      <c r="A411" s="59" t="s">
        <v>701</v>
      </c>
      <c r="B411" s="59" t="s">
        <v>1077</v>
      </c>
      <c r="C411" s="59" t="s">
        <v>1623</v>
      </c>
      <c r="D411" s="59" t="s">
        <v>144</v>
      </c>
      <c r="E411" s="60">
        <v>1</v>
      </c>
      <c r="F411" s="61"/>
      <c r="G411" s="61">
        <f t="shared" si="44"/>
        <v>0</v>
      </c>
      <c r="H411" s="61">
        <f t="shared" si="45"/>
        <v>0</v>
      </c>
      <c r="I411" s="61">
        <f t="shared" si="46"/>
        <v>0</v>
      </c>
      <c r="J411" s="61">
        <v>1.319</v>
      </c>
      <c r="K411" s="61">
        <f t="shared" si="47"/>
        <v>1.319</v>
      </c>
      <c r="L411" s="62" t="s">
        <v>170</v>
      </c>
      <c r="M411" s="39"/>
      <c r="N411" s="39"/>
      <c r="P411" s="11">
        <f t="shared" si="48"/>
        <v>0</v>
      </c>
      <c r="R411" s="11">
        <f t="shared" si="49"/>
        <v>0</v>
      </c>
      <c r="S411" s="11">
        <f t="shared" si="50"/>
        <v>0</v>
      </c>
      <c r="T411" s="11">
        <f t="shared" si="51"/>
        <v>0</v>
      </c>
      <c r="U411" s="11">
        <f t="shared" si="52"/>
        <v>0</v>
      </c>
      <c r="V411" s="11">
        <f t="shared" si="53"/>
        <v>0</v>
      </c>
      <c r="W411" s="11">
        <f t="shared" si="54"/>
        <v>0</v>
      </c>
      <c r="X411" s="11">
        <f t="shared" si="55"/>
        <v>0</v>
      </c>
      <c r="Y411" s="6"/>
      <c r="Z411" s="4">
        <f t="shared" si="56"/>
        <v>0</v>
      </c>
      <c r="AA411" s="4">
        <f t="shared" si="57"/>
        <v>0</v>
      </c>
      <c r="AB411" s="4">
        <f t="shared" si="58"/>
        <v>0</v>
      </c>
      <c r="AD411" s="11">
        <v>21</v>
      </c>
      <c r="AE411" s="11">
        <f t="shared" si="59"/>
        <v>0</v>
      </c>
      <c r="AF411" s="11">
        <f t="shared" si="60"/>
        <v>0</v>
      </c>
      <c r="AG411" s="7" t="s">
        <v>504</v>
      </c>
      <c r="AM411" s="11">
        <f t="shared" si="61"/>
        <v>0</v>
      </c>
      <c r="AN411" s="11">
        <f t="shared" si="62"/>
        <v>0</v>
      </c>
      <c r="AO411" s="12" t="s">
        <v>199</v>
      </c>
      <c r="AP411" s="12" t="s">
        <v>228</v>
      </c>
      <c r="AQ411" s="6" t="s">
        <v>234</v>
      </c>
      <c r="AS411" s="11">
        <f t="shared" si="63"/>
        <v>0</v>
      </c>
      <c r="AT411" s="11">
        <f t="shared" si="64"/>
        <v>0</v>
      </c>
      <c r="AU411" s="11">
        <v>0</v>
      </c>
      <c r="AV411" s="11">
        <f t="shared" si="65"/>
        <v>1.319</v>
      </c>
    </row>
    <row r="412" spans="1:48" ht="12.75">
      <c r="A412" s="59" t="s">
        <v>702</v>
      </c>
      <c r="B412" s="59" t="s">
        <v>1078</v>
      </c>
      <c r="C412" s="59" t="s">
        <v>1624</v>
      </c>
      <c r="D412" s="59" t="s">
        <v>148</v>
      </c>
      <c r="E412" s="60">
        <v>2</v>
      </c>
      <c r="F412" s="61"/>
      <c r="G412" s="61">
        <f t="shared" si="44"/>
        <v>0</v>
      </c>
      <c r="H412" s="61">
        <f t="shared" si="45"/>
        <v>0</v>
      </c>
      <c r="I412" s="61">
        <f t="shared" si="46"/>
        <v>0</v>
      </c>
      <c r="J412" s="61">
        <v>0.00339</v>
      </c>
      <c r="K412" s="61">
        <f t="shared" si="47"/>
        <v>0.00678</v>
      </c>
      <c r="L412" s="62" t="s">
        <v>170</v>
      </c>
      <c r="M412" s="39"/>
      <c r="N412" s="39"/>
      <c r="P412" s="11">
        <f t="shared" si="48"/>
        <v>0</v>
      </c>
      <c r="R412" s="11">
        <f t="shared" si="49"/>
        <v>0</v>
      </c>
      <c r="S412" s="11">
        <f t="shared" si="50"/>
        <v>0</v>
      </c>
      <c r="T412" s="11">
        <f t="shared" si="51"/>
        <v>0</v>
      </c>
      <c r="U412" s="11">
        <f t="shared" si="52"/>
        <v>0</v>
      </c>
      <c r="V412" s="11">
        <f t="shared" si="53"/>
        <v>0</v>
      </c>
      <c r="W412" s="11">
        <f t="shared" si="54"/>
        <v>0</v>
      </c>
      <c r="X412" s="11">
        <f t="shared" si="55"/>
        <v>0</v>
      </c>
      <c r="Y412" s="6"/>
      <c r="Z412" s="4">
        <f t="shared" si="56"/>
        <v>0</v>
      </c>
      <c r="AA412" s="4">
        <f t="shared" si="57"/>
        <v>0</v>
      </c>
      <c r="AB412" s="4">
        <f t="shared" si="58"/>
        <v>0</v>
      </c>
      <c r="AD412" s="11">
        <v>21</v>
      </c>
      <c r="AE412" s="11">
        <f t="shared" si="59"/>
        <v>0</v>
      </c>
      <c r="AF412" s="11">
        <f t="shared" si="60"/>
        <v>0</v>
      </c>
      <c r="AG412" s="7" t="s">
        <v>504</v>
      </c>
      <c r="AM412" s="11">
        <f t="shared" si="61"/>
        <v>0</v>
      </c>
      <c r="AN412" s="11">
        <f t="shared" si="62"/>
        <v>0</v>
      </c>
      <c r="AO412" s="12" t="s">
        <v>199</v>
      </c>
      <c r="AP412" s="12" t="s">
        <v>228</v>
      </c>
      <c r="AQ412" s="6" t="s">
        <v>234</v>
      </c>
      <c r="AS412" s="11">
        <f t="shared" si="63"/>
        <v>0</v>
      </c>
      <c r="AT412" s="11">
        <f t="shared" si="64"/>
        <v>0</v>
      </c>
      <c r="AU412" s="11">
        <v>0</v>
      </c>
      <c r="AV412" s="11">
        <f t="shared" si="65"/>
        <v>0.00678</v>
      </c>
    </row>
    <row r="413" spans="1:48" ht="12.75">
      <c r="A413" s="59" t="s">
        <v>703</v>
      </c>
      <c r="B413" s="59" t="s">
        <v>1079</v>
      </c>
      <c r="C413" s="59" t="s">
        <v>1625</v>
      </c>
      <c r="D413" s="59" t="s">
        <v>148</v>
      </c>
      <c r="E413" s="60">
        <v>1</v>
      </c>
      <c r="F413" s="61"/>
      <c r="G413" s="61">
        <f t="shared" si="44"/>
        <v>0</v>
      </c>
      <c r="H413" s="61">
        <f t="shared" si="45"/>
        <v>0</v>
      </c>
      <c r="I413" s="61">
        <f t="shared" si="46"/>
        <v>0</v>
      </c>
      <c r="J413" s="61">
        <v>0.00571</v>
      </c>
      <c r="K413" s="61">
        <f t="shared" si="47"/>
        <v>0.00571</v>
      </c>
      <c r="L413" s="62" t="s">
        <v>170</v>
      </c>
      <c r="M413" s="39"/>
      <c r="N413" s="39"/>
      <c r="P413" s="11">
        <f t="shared" si="48"/>
        <v>0</v>
      </c>
      <c r="R413" s="11">
        <f t="shared" si="49"/>
        <v>0</v>
      </c>
      <c r="S413" s="11">
        <f t="shared" si="50"/>
        <v>0</v>
      </c>
      <c r="T413" s="11">
        <f t="shared" si="51"/>
        <v>0</v>
      </c>
      <c r="U413" s="11">
        <f t="shared" si="52"/>
        <v>0</v>
      </c>
      <c r="V413" s="11">
        <f t="shared" si="53"/>
        <v>0</v>
      </c>
      <c r="W413" s="11">
        <f t="shared" si="54"/>
        <v>0</v>
      </c>
      <c r="X413" s="11">
        <f t="shared" si="55"/>
        <v>0</v>
      </c>
      <c r="Y413" s="6"/>
      <c r="Z413" s="4">
        <f t="shared" si="56"/>
        <v>0</v>
      </c>
      <c r="AA413" s="4">
        <f t="shared" si="57"/>
        <v>0</v>
      </c>
      <c r="AB413" s="4">
        <f t="shared" si="58"/>
        <v>0</v>
      </c>
      <c r="AD413" s="11">
        <v>21</v>
      </c>
      <c r="AE413" s="11">
        <f t="shared" si="59"/>
        <v>0</v>
      </c>
      <c r="AF413" s="11">
        <f t="shared" si="60"/>
        <v>0</v>
      </c>
      <c r="AG413" s="7" t="s">
        <v>504</v>
      </c>
      <c r="AM413" s="11">
        <f t="shared" si="61"/>
        <v>0</v>
      </c>
      <c r="AN413" s="11">
        <f t="shared" si="62"/>
        <v>0</v>
      </c>
      <c r="AO413" s="12" t="s">
        <v>199</v>
      </c>
      <c r="AP413" s="12" t="s">
        <v>228</v>
      </c>
      <c r="AQ413" s="6" t="s">
        <v>234</v>
      </c>
      <c r="AS413" s="11">
        <f t="shared" si="63"/>
        <v>0</v>
      </c>
      <c r="AT413" s="11">
        <f t="shared" si="64"/>
        <v>0</v>
      </c>
      <c r="AU413" s="11">
        <v>0</v>
      </c>
      <c r="AV413" s="11">
        <f t="shared" si="65"/>
        <v>0.00571</v>
      </c>
    </row>
    <row r="414" spans="1:48" ht="12.75">
      <c r="A414" s="59" t="s">
        <v>704</v>
      </c>
      <c r="B414" s="59" t="s">
        <v>1080</v>
      </c>
      <c r="C414" s="59" t="s">
        <v>1626</v>
      </c>
      <c r="D414" s="59" t="s">
        <v>148</v>
      </c>
      <c r="E414" s="60">
        <v>1</v>
      </c>
      <c r="F414" s="61"/>
      <c r="G414" s="61">
        <f t="shared" si="44"/>
        <v>0</v>
      </c>
      <c r="H414" s="61">
        <f t="shared" si="45"/>
        <v>0</v>
      </c>
      <c r="I414" s="61">
        <f t="shared" si="46"/>
        <v>0</v>
      </c>
      <c r="J414" s="61">
        <v>0.00533</v>
      </c>
      <c r="K414" s="61">
        <f t="shared" si="47"/>
        <v>0.00533</v>
      </c>
      <c r="L414" s="62" t="s">
        <v>170</v>
      </c>
      <c r="M414" s="39"/>
      <c r="N414" s="39"/>
      <c r="P414" s="11">
        <f t="shared" si="48"/>
        <v>0</v>
      </c>
      <c r="R414" s="11">
        <f t="shared" si="49"/>
        <v>0</v>
      </c>
      <c r="S414" s="11">
        <f t="shared" si="50"/>
        <v>0</v>
      </c>
      <c r="T414" s="11">
        <f t="shared" si="51"/>
        <v>0</v>
      </c>
      <c r="U414" s="11">
        <f t="shared" si="52"/>
        <v>0</v>
      </c>
      <c r="V414" s="11">
        <f t="shared" si="53"/>
        <v>0</v>
      </c>
      <c r="W414" s="11">
        <f t="shared" si="54"/>
        <v>0</v>
      </c>
      <c r="X414" s="11">
        <f t="shared" si="55"/>
        <v>0</v>
      </c>
      <c r="Y414" s="6"/>
      <c r="Z414" s="4">
        <f t="shared" si="56"/>
        <v>0</v>
      </c>
      <c r="AA414" s="4">
        <f t="shared" si="57"/>
        <v>0</v>
      </c>
      <c r="AB414" s="4">
        <f t="shared" si="58"/>
        <v>0</v>
      </c>
      <c r="AD414" s="11">
        <v>21</v>
      </c>
      <c r="AE414" s="11">
        <f t="shared" si="59"/>
        <v>0</v>
      </c>
      <c r="AF414" s="11">
        <f t="shared" si="60"/>
        <v>0</v>
      </c>
      <c r="AG414" s="7" t="s">
        <v>504</v>
      </c>
      <c r="AM414" s="11">
        <f t="shared" si="61"/>
        <v>0</v>
      </c>
      <c r="AN414" s="11">
        <f t="shared" si="62"/>
        <v>0</v>
      </c>
      <c r="AO414" s="12" t="s">
        <v>199</v>
      </c>
      <c r="AP414" s="12" t="s">
        <v>228</v>
      </c>
      <c r="AQ414" s="6" t="s">
        <v>234</v>
      </c>
      <c r="AS414" s="11">
        <f t="shared" si="63"/>
        <v>0</v>
      </c>
      <c r="AT414" s="11">
        <f t="shared" si="64"/>
        <v>0</v>
      </c>
      <c r="AU414" s="11">
        <v>0</v>
      </c>
      <c r="AV414" s="11">
        <f t="shared" si="65"/>
        <v>0.00533</v>
      </c>
    </row>
    <row r="415" spans="1:48" ht="12.75">
      <c r="A415" s="59" t="s">
        <v>705</v>
      </c>
      <c r="B415" s="59" t="s">
        <v>1081</v>
      </c>
      <c r="C415" s="59" t="s">
        <v>1627</v>
      </c>
      <c r="D415" s="59" t="s">
        <v>144</v>
      </c>
      <c r="E415" s="60">
        <v>2</v>
      </c>
      <c r="F415" s="61"/>
      <c r="G415" s="61">
        <f t="shared" si="44"/>
        <v>0</v>
      </c>
      <c r="H415" s="61">
        <f t="shared" si="45"/>
        <v>0</v>
      </c>
      <c r="I415" s="61">
        <f t="shared" si="46"/>
        <v>0</v>
      </c>
      <c r="J415" s="61">
        <v>0</v>
      </c>
      <c r="K415" s="61">
        <f t="shared" si="47"/>
        <v>0</v>
      </c>
      <c r="L415" s="62" t="s">
        <v>170</v>
      </c>
      <c r="M415" s="39"/>
      <c r="N415" s="39"/>
      <c r="P415" s="11">
        <f t="shared" si="48"/>
        <v>0</v>
      </c>
      <c r="R415" s="11">
        <f t="shared" si="49"/>
        <v>0</v>
      </c>
      <c r="S415" s="11">
        <f t="shared" si="50"/>
        <v>0</v>
      </c>
      <c r="T415" s="11">
        <f t="shared" si="51"/>
        <v>0</v>
      </c>
      <c r="U415" s="11">
        <f t="shared" si="52"/>
        <v>0</v>
      </c>
      <c r="V415" s="11">
        <f t="shared" si="53"/>
        <v>0</v>
      </c>
      <c r="W415" s="11">
        <f t="shared" si="54"/>
        <v>0</v>
      </c>
      <c r="X415" s="11">
        <f t="shared" si="55"/>
        <v>0</v>
      </c>
      <c r="Y415" s="6"/>
      <c r="Z415" s="4">
        <f t="shared" si="56"/>
        <v>0</v>
      </c>
      <c r="AA415" s="4">
        <f t="shared" si="57"/>
        <v>0</v>
      </c>
      <c r="AB415" s="4">
        <f t="shared" si="58"/>
        <v>0</v>
      </c>
      <c r="AD415" s="11">
        <v>21</v>
      </c>
      <c r="AE415" s="11">
        <f t="shared" si="59"/>
        <v>0</v>
      </c>
      <c r="AF415" s="11">
        <f t="shared" si="60"/>
        <v>0</v>
      </c>
      <c r="AG415" s="7" t="s">
        <v>504</v>
      </c>
      <c r="AM415" s="11">
        <f t="shared" si="61"/>
        <v>0</v>
      </c>
      <c r="AN415" s="11">
        <f t="shared" si="62"/>
        <v>0</v>
      </c>
      <c r="AO415" s="12" t="s">
        <v>199</v>
      </c>
      <c r="AP415" s="12" t="s">
        <v>228</v>
      </c>
      <c r="AQ415" s="6" t="s">
        <v>234</v>
      </c>
      <c r="AS415" s="11">
        <f t="shared" si="63"/>
        <v>0</v>
      </c>
      <c r="AT415" s="11">
        <f t="shared" si="64"/>
        <v>0</v>
      </c>
      <c r="AU415" s="11">
        <v>0</v>
      </c>
      <c r="AV415" s="11">
        <f t="shared" si="65"/>
        <v>0</v>
      </c>
    </row>
    <row r="416" spans="1:48" ht="12.75">
      <c r="A416" s="59" t="s">
        <v>706</v>
      </c>
      <c r="B416" s="59" t="s">
        <v>1082</v>
      </c>
      <c r="C416" s="59" t="s">
        <v>1628</v>
      </c>
      <c r="D416" s="59" t="s">
        <v>143</v>
      </c>
      <c r="E416" s="60">
        <v>1.346</v>
      </c>
      <c r="F416" s="61"/>
      <c r="G416" s="61">
        <f t="shared" si="44"/>
        <v>0</v>
      </c>
      <c r="H416" s="61">
        <f t="shared" si="45"/>
        <v>0</v>
      </c>
      <c r="I416" s="61">
        <f t="shared" si="46"/>
        <v>0</v>
      </c>
      <c r="J416" s="61">
        <v>0</v>
      </c>
      <c r="K416" s="61">
        <f t="shared" si="47"/>
        <v>0</v>
      </c>
      <c r="L416" s="62" t="s">
        <v>170</v>
      </c>
      <c r="M416" s="39"/>
      <c r="N416" s="39"/>
      <c r="P416" s="11">
        <f t="shared" si="48"/>
        <v>0</v>
      </c>
      <c r="R416" s="11">
        <f t="shared" si="49"/>
        <v>0</v>
      </c>
      <c r="S416" s="11">
        <f t="shared" si="50"/>
        <v>0</v>
      </c>
      <c r="T416" s="11">
        <f t="shared" si="51"/>
        <v>0</v>
      </c>
      <c r="U416" s="11">
        <f t="shared" si="52"/>
        <v>0</v>
      </c>
      <c r="V416" s="11">
        <f t="shared" si="53"/>
        <v>0</v>
      </c>
      <c r="W416" s="11">
        <f t="shared" si="54"/>
        <v>0</v>
      </c>
      <c r="X416" s="11">
        <f t="shared" si="55"/>
        <v>0</v>
      </c>
      <c r="Y416" s="6"/>
      <c r="Z416" s="4">
        <f t="shared" si="56"/>
        <v>0</v>
      </c>
      <c r="AA416" s="4">
        <f t="shared" si="57"/>
        <v>0</v>
      </c>
      <c r="AB416" s="4">
        <f t="shared" si="58"/>
        <v>0</v>
      </c>
      <c r="AD416" s="11">
        <v>21</v>
      </c>
      <c r="AE416" s="11">
        <f t="shared" si="59"/>
        <v>0</v>
      </c>
      <c r="AF416" s="11">
        <f t="shared" si="60"/>
        <v>0</v>
      </c>
      <c r="AG416" s="7" t="s">
        <v>504</v>
      </c>
      <c r="AM416" s="11">
        <f t="shared" si="61"/>
        <v>0</v>
      </c>
      <c r="AN416" s="11">
        <f t="shared" si="62"/>
        <v>0</v>
      </c>
      <c r="AO416" s="12" t="s">
        <v>199</v>
      </c>
      <c r="AP416" s="12" t="s">
        <v>228</v>
      </c>
      <c r="AQ416" s="6" t="s">
        <v>234</v>
      </c>
      <c r="AS416" s="11">
        <f t="shared" si="63"/>
        <v>0</v>
      </c>
      <c r="AT416" s="11">
        <f t="shared" si="64"/>
        <v>0</v>
      </c>
      <c r="AU416" s="11">
        <v>0</v>
      </c>
      <c r="AV416" s="11">
        <f t="shared" si="65"/>
        <v>0</v>
      </c>
    </row>
    <row r="417" spans="1:48" ht="12.75">
      <c r="A417" s="59" t="s">
        <v>707</v>
      </c>
      <c r="B417" s="59" t="s">
        <v>1083</v>
      </c>
      <c r="C417" s="59" t="s">
        <v>1629</v>
      </c>
      <c r="D417" s="59" t="s">
        <v>150</v>
      </c>
      <c r="E417" s="60">
        <v>1</v>
      </c>
      <c r="F417" s="61"/>
      <c r="G417" s="61">
        <f t="shared" si="44"/>
        <v>0</v>
      </c>
      <c r="H417" s="61">
        <f t="shared" si="45"/>
        <v>0</v>
      </c>
      <c r="I417" s="61">
        <f t="shared" si="46"/>
        <v>0</v>
      </c>
      <c r="J417" s="61">
        <v>0</v>
      </c>
      <c r="K417" s="61">
        <f t="shared" si="47"/>
        <v>0</v>
      </c>
      <c r="L417" s="62" t="s">
        <v>170</v>
      </c>
      <c r="M417" s="39"/>
      <c r="N417" s="39"/>
      <c r="P417" s="11">
        <f t="shared" si="48"/>
        <v>0</v>
      </c>
      <c r="R417" s="11">
        <f t="shared" si="49"/>
        <v>0</v>
      </c>
      <c r="S417" s="11">
        <f t="shared" si="50"/>
        <v>0</v>
      </c>
      <c r="T417" s="11">
        <f t="shared" si="51"/>
        <v>0</v>
      </c>
      <c r="U417" s="11">
        <f t="shared" si="52"/>
        <v>0</v>
      </c>
      <c r="V417" s="11">
        <f t="shared" si="53"/>
        <v>0</v>
      </c>
      <c r="W417" s="11">
        <f t="shared" si="54"/>
        <v>0</v>
      </c>
      <c r="X417" s="11">
        <f t="shared" si="55"/>
        <v>0</v>
      </c>
      <c r="Y417" s="6"/>
      <c r="Z417" s="4">
        <f t="shared" si="56"/>
        <v>0</v>
      </c>
      <c r="AA417" s="4">
        <f t="shared" si="57"/>
        <v>0</v>
      </c>
      <c r="AB417" s="4">
        <f t="shared" si="58"/>
        <v>0</v>
      </c>
      <c r="AD417" s="11">
        <v>21</v>
      </c>
      <c r="AE417" s="11">
        <f t="shared" si="59"/>
        <v>0</v>
      </c>
      <c r="AF417" s="11">
        <f t="shared" si="60"/>
        <v>0</v>
      </c>
      <c r="AG417" s="7" t="s">
        <v>504</v>
      </c>
      <c r="AM417" s="11">
        <f t="shared" si="61"/>
        <v>0</v>
      </c>
      <c r="AN417" s="11">
        <f t="shared" si="62"/>
        <v>0</v>
      </c>
      <c r="AO417" s="12" t="s">
        <v>199</v>
      </c>
      <c r="AP417" s="12" t="s">
        <v>228</v>
      </c>
      <c r="AQ417" s="6" t="s">
        <v>234</v>
      </c>
      <c r="AS417" s="11">
        <f t="shared" si="63"/>
        <v>0</v>
      </c>
      <c r="AT417" s="11">
        <f t="shared" si="64"/>
        <v>0</v>
      </c>
      <c r="AU417" s="11">
        <v>0</v>
      </c>
      <c r="AV417" s="11">
        <f t="shared" si="65"/>
        <v>0</v>
      </c>
    </row>
    <row r="418" spans="1:37" ht="12.75">
      <c r="A418" s="66"/>
      <c r="B418" s="67" t="s">
        <v>1084</v>
      </c>
      <c r="C418" s="305" t="s">
        <v>1630</v>
      </c>
      <c r="D418" s="306"/>
      <c r="E418" s="306"/>
      <c r="F418" s="306"/>
      <c r="G418" s="68">
        <f>SUM(G419:G435)</f>
        <v>0</v>
      </c>
      <c r="H418" s="68">
        <f>SUM(H419:H435)</f>
        <v>0</v>
      </c>
      <c r="I418" s="68">
        <f>G418+H418</f>
        <v>0</v>
      </c>
      <c r="J418" s="69"/>
      <c r="K418" s="68">
        <f>SUM(K419:K435)</f>
        <v>4.218855</v>
      </c>
      <c r="L418" s="69"/>
      <c r="M418" s="39"/>
      <c r="N418" s="39"/>
      <c r="Y418" s="6"/>
      <c r="AI418" s="13">
        <f>SUM(Z419:Z435)</f>
        <v>0</v>
      </c>
      <c r="AJ418" s="13">
        <f>SUM(AA419:AA435)</f>
        <v>0</v>
      </c>
      <c r="AK418" s="13">
        <f>SUM(AB419:AB435)</f>
        <v>0</v>
      </c>
    </row>
    <row r="419" spans="1:48" ht="12.75">
      <c r="A419" s="59" t="s">
        <v>708</v>
      </c>
      <c r="B419" s="59" t="s">
        <v>1085</v>
      </c>
      <c r="C419" s="59" t="s">
        <v>1631</v>
      </c>
      <c r="D419" s="59" t="s">
        <v>142</v>
      </c>
      <c r="E419" s="60">
        <v>5.1</v>
      </c>
      <c r="F419" s="61"/>
      <c r="G419" s="61">
        <f aca="true" t="shared" si="66" ref="G419:G435">E419*AE419</f>
        <v>0</v>
      </c>
      <c r="H419" s="61">
        <f aca="true" t="shared" si="67" ref="H419:H435">I419-G419</f>
        <v>0</v>
      </c>
      <c r="I419" s="61">
        <f aca="true" t="shared" si="68" ref="I419:I435">E419*F419</f>
        <v>0</v>
      </c>
      <c r="J419" s="61">
        <v>0.25825</v>
      </c>
      <c r="K419" s="61">
        <f aca="true" t="shared" si="69" ref="K419:K435">E419*J419</f>
        <v>1.3170749999999998</v>
      </c>
      <c r="L419" s="62" t="s">
        <v>170</v>
      </c>
      <c r="M419" s="39"/>
      <c r="N419" s="39"/>
      <c r="P419" s="11">
        <f aca="true" t="shared" si="70" ref="P419:P435">IF(AG419="5",I419,0)</f>
        <v>0</v>
      </c>
      <c r="R419" s="11">
        <f aca="true" t="shared" si="71" ref="R419:R435">IF(AG419="1",G419,0)</f>
        <v>0</v>
      </c>
      <c r="S419" s="11">
        <f aca="true" t="shared" si="72" ref="S419:S435">IF(AG419="1",H419,0)</f>
        <v>0</v>
      </c>
      <c r="T419" s="11">
        <f aca="true" t="shared" si="73" ref="T419:T435">IF(AG419="7",G419,0)</f>
        <v>0</v>
      </c>
      <c r="U419" s="11">
        <f aca="true" t="shared" si="74" ref="U419:U435">IF(AG419="7",H419,0)</f>
        <v>0</v>
      </c>
      <c r="V419" s="11">
        <f aca="true" t="shared" si="75" ref="V419:V435">IF(AG419="2",G419,0)</f>
        <v>0</v>
      </c>
      <c r="W419" s="11">
        <f aca="true" t="shared" si="76" ref="W419:W435">IF(AG419="2",H419,0)</f>
        <v>0</v>
      </c>
      <c r="X419" s="11">
        <f aca="true" t="shared" si="77" ref="X419:X435">IF(AG419="0",I419,0)</f>
        <v>0</v>
      </c>
      <c r="Y419" s="6"/>
      <c r="Z419" s="4">
        <f aca="true" t="shared" si="78" ref="Z419:Z435">IF(AD419=0,I419,0)</f>
        <v>0</v>
      </c>
      <c r="AA419" s="4">
        <f aca="true" t="shared" si="79" ref="AA419:AA435">IF(AD419=15,I419,0)</f>
        <v>0</v>
      </c>
      <c r="AB419" s="4">
        <f aca="true" t="shared" si="80" ref="AB419:AB435">IF(AD419=21,I419,0)</f>
        <v>0</v>
      </c>
      <c r="AD419" s="11">
        <v>21</v>
      </c>
      <c r="AE419" s="11">
        <f aca="true" t="shared" si="81" ref="AE419:AE435">F419*0</f>
        <v>0</v>
      </c>
      <c r="AF419" s="11">
        <f aca="true" t="shared" si="82" ref="AF419:AF435">F419*(1-0)</f>
        <v>0</v>
      </c>
      <c r="AG419" s="7" t="s">
        <v>504</v>
      </c>
      <c r="AM419" s="11">
        <f aca="true" t="shared" si="83" ref="AM419:AM435">E419*AE419</f>
        <v>0</v>
      </c>
      <c r="AN419" s="11">
        <f aca="true" t="shared" si="84" ref="AN419:AN435">E419*AF419</f>
        <v>0</v>
      </c>
      <c r="AO419" s="12" t="s">
        <v>200</v>
      </c>
      <c r="AP419" s="12" t="s">
        <v>228</v>
      </c>
      <c r="AQ419" s="6" t="s">
        <v>234</v>
      </c>
      <c r="AS419" s="11">
        <f aca="true" t="shared" si="85" ref="AS419:AS435">AM419+AN419</f>
        <v>0</v>
      </c>
      <c r="AT419" s="11">
        <f aca="true" t="shared" si="86" ref="AT419:AT435">F419/(100-AU419)*100</f>
        <v>0</v>
      </c>
      <c r="AU419" s="11">
        <v>0</v>
      </c>
      <c r="AV419" s="11">
        <f aca="true" t="shared" si="87" ref="AV419:AV435">K419</f>
        <v>1.3170749999999998</v>
      </c>
    </row>
    <row r="420" spans="1:48" ht="12.75">
      <c r="A420" s="59" t="s">
        <v>709</v>
      </c>
      <c r="B420" s="59" t="s">
        <v>1086</v>
      </c>
      <c r="C420" s="59" t="s">
        <v>1632</v>
      </c>
      <c r="D420" s="59" t="s">
        <v>146</v>
      </c>
      <c r="E420" s="60">
        <v>55</v>
      </c>
      <c r="F420" s="61"/>
      <c r="G420" s="61">
        <f t="shared" si="66"/>
        <v>0</v>
      </c>
      <c r="H420" s="61">
        <f t="shared" si="67"/>
        <v>0</v>
      </c>
      <c r="I420" s="61">
        <f t="shared" si="68"/>
        <v>0</v>
      </c>
      <c r="J420" s="61">
        <v>3E-05</v>
      </c>
      <c r="K420" s="61">
        <f t="shared" si="69"/>
        <v>0.00165</v>
      </c>
      <c r="L420" s="62" t="s">
        <v>170</v>
      </c>
      <c r="M420" s="39"/>
      <c r="N420" s="39"/>
      <c r="P420" s="11">
        <f t="shared" si="70"/>
        <v>0</v>
      </c>
      <c r="R420" s="11">
        <f t="shared" si="71"/>
        <v>0</v>
      </c>
      <c r="S420" s="11">
        <f t="shared" si="72"/>
        <v>0</v>
      </c>
      <c r="T420" s="11">
        <f t="shared" si="73"/>
        <v>0</v>
      </c>
      <c r="U420" s="11">
        <f t="shared" si="74"/>
        <v>0</v>
      </c>
      <c r="V420" s="11">
        <f t="shared" si="75"/>
        <v>0</v>
      </c>
      <c r="W420" s="11">
        <f t="shared" si="76"/>
        <v>0</v>
      </c>
      <c r="X420" s="11">
        <f t="shared" si="77"/>
        <v>0</v>
      </c>
      <c r="Y420" s="6"/>
      <c r="Z420" s="4">
        <f t="shared" si="78"/>
        <v>0</v>
      </c>
      <c r="AA420" s="4">
        <f t="shared" si="79"/>
        <v>0</v>
      </c>
      <c r="AB420" s="4">
        <f t="shared" si="80"/>
        <v>0</v>
      </c>
      <c r="AD420" s="11">
        <v>21</v>
      </c>
      <c r="AE420" s="11">
        <f t="shared" si="81"/>
        <v>0</v>
      </c>
      <c r="AF420" s="11">
        <f t="shared" si="82"/>
        <v>0</v>
      </c>
      <c r="AG420" s="7" t="s">
        <v>504</v>
      </c>
      <c r="AM420" s="11">
        <f t="shared" si="83"/>
        <v>0</v>
      </c>
      <c r="AN420" s="11">
        <f t="shared" si="84"/>
        <v>0</v>
      </c>
      <c r="AO420" s="12" t="s">
        <v>200</v>
      </c>
      <c r="AP420" s="12" t="s">
        <v>228</v>
      </c>
      <c r="AQ420" s="6" t="s">
        <v>234</v>
      </c>
      <c r="AS420" s="11">
        <f t="shared" si="85"/>
        <v>0</v>
      </c>
      <c r="AT420" s="11">
        <f t="shared" si="86"/>
        <v>0</v>
      </c>
      <c r="AU420" s="11">
        <v>0</v>
      </c>
      <c r="AV420" s="11">
        <f t="shared" si="87"/>
        <v>0.00165</v>
      </c>
    </row>
    <row r="421" spans="1:48" ht="12.75">
      <c r="A421" s="59" t="s">
        <v>710</v>
      </c>
      <c r="B421" s="59" t="s">
        <v>1087</v>
      </c>
      <c r="C421" s="59" t="s">
        <v>1632</v>
      </c>
      <c r="D421" s="59" t="s">
        <v>146</v>
      </c>
      <c r="E421" s="60">
        <v>50</v>
      </c>
      <c r="F421" s="61"/>
      <c r="G421" s="61">
        <f t="shared" si="66"/>
        <v>0</v>
      </c>
      <c r="H421" s="61">
        <f t="shared" si="67"/>
        <v>0</v>
      </c>
      <c r="I421" s="61">
        <f t="shared" si="68"/>
        <v>0</v>
      </c>
      <c r="J421" s="61">
        <v>4E-05</v>
      </c>
      <c r="K421" s="61">
        <f t="shared" si="69"/>
        <v>0.002</v>
      </c>
      <c r="L421" s="62" t="s">
        <v>170</v>
      </c>
      <c r="M421" s="39"/>
      <c r="N421" s="39"/>
      <c r="P421" s="11">
        <f t="shared" si="70"/>
        <v>0</v>
      </c>
      <c r="R421" s="11">
        <f t="shared" si="71"/>
        <v>0</v>
      </c>
      <c r="S421" s="11">
        <f t="shared" si="72"/>
        <v>0</v>
      </c>
      <c r="T421" s="11">
        <f t="shared" si="73"/>
        <v>0</v>
      </c>
      <c r="U421" s="11">
        <f t="shared" si="74"/>
        <v>0</v>
      </c>
      <c r="V421" s="11">
        <f t="shared" si="75"/>
        <v>0</v>
      </c>
      <c r="W421" s="11">
        <f t="shared" si="76"/>
        <v>0</v>
      </c>
      <c r="X421" s="11">
        <f t="shared" si="77"/>
        <v>0</v>
      </c>
      <c r="Y421" s="6"/>
      <c r="Z421" s="4">
        <f t="shared" si="78"/>
        <v>0</v>
      </c>
      <c r="AA421" s="4">
        <f t="shared" si="79"/>
        <v>0</v>
      </c>
      <c r="AB421" s="4">
        <f t="shared" si="80"/>
        <v>0</v>
      </c>
      <c r="AD421" s="11">
        <v>21</v>
      </c>
      <c r="AE421" s="11">
        <f t="shared" si="81"/>
        <v>0</v>
      </c>
      <c r="AF421" s="11">
        <f t="shared" si="82"/>
        <v>0</v>
      </c>
      <c r="AG421" s="7" t="s">
        <v>504</v>
      </c>
      <c r="AM421" s="11">
        <f t="shared" si="83"/>
        <v>0</v>
      </c>
      <c r="AN421" s="11">
        <f t="shared" si="84"/>
        <v>0</v>
      </c>
      <c r="AO421" s="12" t="s">
        <v>200</v>
      </c>
      <c r="AP421" s="12" t="s">
        <v>228</v>
      </c>
      <c r="AQ421" s="6" t="s">
        <v>234</v>
      </c>
      <c r="AS421" s="11">
        <f t="shared" si="85"/>
        <v>0</v>
      </c>
      <c r="AT421" s="11">
        <f t="shared" si="86"/>
        <v>0</v>
      </c>
      <c r="AU421" s="11">
        <v>0</v>
      </c>
      <c r="AV421" s="11">
        <f t="shared" si="87"/>
        <v>0.002</v>
      </c>
    </row>
    <row r="422" spans="1:48" ht="12.75">
      <c r="A422" s="59" t="s">
        <v>711</v>
      </c>
      <c r="B422" s="59" t="s">
        <v>1088</v>
      </c>
      <c r="C422" s="59" t="s">
        <v>1632</v>
      </c>
      <c r="D422" s="59" t="s">
        <v>146</v>
      </c>
      <c r="E422" s="60">
        <v>25</v>
      </c>
      <c r="F422" s="61"/>
      <c r="G422" s="61">
        <f t="shared" si="66"/>
        <v>0</v>
      </c>
      <c r="H422" s="61">
        <f t="shared" si="67"/>
        <v>0</v>
      </c>
      <c r="I422" s="61">
        <f t="shared" si="68"/>
        <v>0</v>
      </c>
      <c r="J422" s="61">
        <v>6E-05</v>
      </c>
      <c r="K422" s="61">
        <f t="shared" si="69"/>
        <v>0.0015</v>
      </c>
      <c r="L422" s="62" t="s">
        <v>170</v>
      </c>
      <c r="M422" s="39"/>
      <c r="N422" s="39"/>
      <c r="P422" s="11">
        <f t="shared" si="70"/>
        <v>0</v>
      </c>
      <c r="R422" s="11">
        <f t="shared" si="71"/>
        <v>0</v>
      </c>
      <c r="S422" s="11">
        <f t="shared" si="72"/>
        <v>0</v>
      </c>
      <c r="T422" s="11">
        <f t="shared" si="73"/>
        <v>0</v>
      </c>
      <c r="U422" s="11">
        <f t="shared" si="74"/>
        <v>0</v>
      </c>
      <c r="V422" s="11">
        <f t="shared" si="75"/>
        <v>0</v>
      </c>
      <c r="W422" s="11">
        <f t="shared" si="76"/>
        <v>0</v>
      </c>
      <c r="X422" s="11">
        <f t="shared" si="77"/>
        <v>0</v>
      </c>
      <c r="Y422" s="6"/>
      <c r="Z422" s="4">
        <f t="shared" si="78"/>
        <v>0</v>
      </c>
      <c r="AA422" s="4">
        <f t="shared" si="79"/>
        <v>0</v>
      </c>
      <c r="AB422" s="4">
        <f t="shared" si="80"/>
        <v>0</v>
      </c>
      <c r="AD422" s="11">
        <v>21</v>
      </c>
      <c r="AE422" s="11">
        <f t="shared" si="81"/>
        <v>0</v>
      </c>
      <c r="AF422" s="11">
        <f t="shared" si="82"/>
        <v>0</v>
      </c>
      <c r="AG422" s="7" t="s">
        <v>504</v>
      </c>
      <c r="AM422" s="11">
        <f t="shared" si="83"/>
        <v>0</v>
      </c>
      <c r="AN422" s="11">
        <f t="shared" si="84"/>
        <v>0</v>
      </c>
      <c r="AO422" s="12" t="s">
        <v>200</v>
      </c>
      <c r="AP422" s="12" t="s">
        <v>228</v>
      </c>
      <c r="AQ422" s="6" t="s">
        <v>234</v>
      </c>
      <c r="AS422" s="11">
        <f t="shared" si="85"/>
        <v>0</v>
      </c>
      <c r="AT422" s="11">
        <f t="shared" si="86"/>
        <v>0</v>
      </c>
      <c r="AU422" s="11">
        <v>0</v>
      </c>
      <c r="AV422" s="11">
        <f t="shared" si="87"/>
        <v>0.0015</v>
      </c>
    </row>
    <row r="423" spans="1:48" ht="12.75">
      <c r="A423" s="59" t="s">
        <v>712</v>
      </c>
      <c r="B423" s="59" t="s">
        <v>1089</v>
      </c>
      <c r="C423" s="59" t="s">
        <v>1632</v>
      </c>
      <c r="D423" s="59" t="s">
        <v>146</v>
      </c>
      <c r="E423" s="60">
        <v>82</v>
      </c>
      <c r="F423" s="61"/>
      <c r="G423" s="61">
        <f t="shared" si="66"/>
        <v>0</v>
      </c>
      <c r="H423" s="61">
        <f t="shared" si="67"/>
        <v>0</v>
      </c>
      <c r="I423" s="61">
        <f t="shared" si="68"/>
        <v>0</v>
      </c>
      <c r="J423" s="61">
        <v>0.00013</v>
      </c>
      <c r="K423" s="61">
        <f t="shared" si="69"/>
        <v>0.01066</v>
      </c>
      <c r="L423" s="62" t="s">
        <v>170</v>
      </c>
      <c r="M423" s="39"/>
      <c r="N423" s="39"/>
      <c r="P423" s="11">
        <f t="shared" si="70"/>
        <v>0</v>
      </c>
      <c r="R423" s="11">
        <f t="shared" si="71"/>
        <v>0</v>
      </c>
      <c r="S423" s="11">
        <f t="shared" si="72"/>
        <v>0</v>
      </c>
      <c r="T423" s="11">
        <f t="shared" si="73"/>
        <v>0</v>
      </c>
      <c r="U423" s="11">
        <f t="shared" si="74"/>
        <v>0</v>
      </c>
      <c r="V423" s="11">
        <f t="shared" si="75"/>
        <v>0</v>
      </c>
      <c r="W423" s="11">
        <f t="shared" si="76"/>
        <v>0</v>
      </c>
      <c r="X423" s="11">
        <f t="shared" si="77"/>
        <v>0</v>
      </c>
      <c r="Y423" s="6"/>
      <c r="Z423" s="4">
        <f t="shared" si="78"/>
        <v>0</v>
      </c>
      <c r="AA423" s="4">
        <f t="shared" si="79"/>
        <v>0</v>
      </c>
      <c r="AB423" s="4">
        <f t="shared" si="80"/>
        <v>0</v>
      </c>
      <c r="AD423" s="11">
        <v>21</v>
      </c>
      <c r="AE423" s="11">
        <f t="shared" si="81"/>
        <v>0</v>
      </c>
      <c r="AF423" s="11">
        <f t="shared" si="82"/>
        <v>0</v>
      </c>
      <c r="AG423" s="7" t="s">
        <v>504</v>
      </c>
      <c r="AM423" s="11">
        <f t="shared" si="83"/>
        <v>0</v>
      </c>
      <c r="AN423" s="11">
        <f t="shared" si="84"/>
        <v>0</v>
      </c>
      <c r="AO423" s="12" t="s">
        <v>200</v>
      </c>
      <c r="AP423" s="12" t="s">
        <v>228</v>
      </c>
      <c r="AQ423" s="6" t="s">
        <v>234</v>
      </c>
      <c r="AS423" s="11">
        <f t="shared" si="85"/>
        <v>0</v>
      </c>
      <c r="AT423" s="11">
        <f t="shared" si="86"/>
        <v>0</v>
      </c>
      <c r="AU423" s="11">
        <v>0</v>
      </c>
      <c r="AV423" s="11">
        <f t="shared" si="87"/>
        <v>0.01066</v>
      </c>
    </row>
    <row r="424" spans="1:48" ht="12.75">
      <c r="A424" s="59" t="s">
        <v>713</v>
      </c>
      <c r="B424" s="59" t="s">
        <v>1090</v>
      </c>
      <c r="C424" s="59" t="s">
        <v>1633</v>
      </c>
      <c r="D424" s="59" t="s">
        <v>146</v>
      </c>
      <c r="E424" s="60">
        <v>55</v>
      </c>
      <c r="F424" s="61"/>
      <c r="G424" s="61">
        <f t="shared" si="66"/>
        <v>0</v>
      </c>
      <c r="H424" s="61">
        <f t="shared" si="67"/>
        <v>0</v>
      </c>
      <c r="I424" s="61">
        <f t="shared" si="68"/>
        <v>0</v>
      </c>
      <c r="J424" s="61">
        <v>0.00689</v>
      </c>
      <c r="K424" s="61">
        <f t="shared" si="69"/>
        <v>0.37895</v>
      </c>
      <c r="L424" s="62" t="s">
        <v>170</v>
      </c>
      <c r="M424" s="39"/>
      <c r="N424" s="39"/>
      <c r="P424" s="11">
        <f t="shared" si="70"/>
        <v>0</v>
      </c>
      <c r="R424" s="11">
        <f t="shared" si="71"/>
        <v>0</v>
      </c>
      <c r="S424" s="11">
        <f t="shared" si="72"/>
        <v>0</v>
      </c>
      <c r="T424" s="11">
        <f t="shared" si="73"/>
        <v>0</v>
      </c>
      <c r="U424" s="11">
        <f t="shared" si="74"/>
        <v>0</v>
      </c>
      <c r="V424" s="11">
        <f t="shared" si="75"/>
        <v>0</v>
      </c>
      <c r="W424" s="11">
        <f t="shared" si="76"/>
        <v>0</v>
      </c>
      <c r="X424" s="11">
        <f t="shared" si="77"/>
        <v>0</v>
      </c>
      <c r="Y424" s="6"/>
      <c r="Z424" s="4">
        <f t="shared" si="78"/>
        <v>0</v>
      </c>
      <c r="AA424" s="4">
        <f t="shared" si="79"/>
        <v>0</v>
      </c>
      <c r="AB424" s="4">
        <f t="shared" si="80"/>
        <v>0</v>
      </c>
      <c r="AD424" s="11">
        <v>21</v>
      </c>
      <c r="AE424" s="11">
        <f t="shared" si="81"/>
        <v>0</v>
      </c>
      <c r="AF424" s="11">
        <f t="shared" si="82"/>
        <v>0</v>
      </c>
      <c r="AG424" s="7" t="s">
        <v>504</v>
      </c>
      <c r="AM424" s="11">
        <f t="shared" si="83"/>
        <v>0</v>
      </c>
      <c r="AN424" s="11">
        <f t="shared" si="84"/>
        <v>0</v>
      </c>
      <c r="AO424" s="12" t="s">
        <v>200</v>
      </c>
      <c r="AP424" s="12" t="s">
        <v>228</v>
      </c>
      <c r="AQ424" s="6" t="s">
        <v>234</v>
      </c>
      <c r="AS424" s="11">
        <f t="shared" si="85"/>
        <v>0</v>
      </c>
      <c r="AT424" s="11">
        <f t="shared" si="86"/>
        <v>0</v>
      </c>
      <c r="AU424" s="11">
        <v>0</v>
      </c>
      <c r="AV424" s="11">
        <f t="shared" si="87"/>
        <v>0.37895</v>
      </c>
    </row>
    <row r="425" spans="1:48" ht="12.75">
      <c r="A425" s="59" t="s">
        <v>714</v>
      </c>
      <c r="B425" s="59" t="s">
        <v>1091</v>
      </c>
      <c r="C425" s="59" t="s">
        <v>1634</v>
      </c>
      <c r="D425" s="59" t="s">
        <v>146</v>
      </c>
      <c r="E425" s="60">
        <v>50</v>
      </c>
      <c r="F425" s="61"/>
      <c r="G425" s="61">
        <f t="shared" si="66"/>
        <v>0</v>
      </c>
      <c r="H425" s="61">
        <f t="shared" si="67"/>
        <v>0</v>
      </c>
      <c r="I425" s="61">
        <f t="shared" si="68"/>
        <v>0</v>
      </c>
      <c r="J425" s="61">
        <v>0.00688</v>
      </c>
      <c r="K425" s="61">
        <f t="shared" si="69"/>
        <v>0.344</v>
      </c>
      <c r="L425" s="62" t="s">
        <v>170</v>
      </c>
      <c r="M425" s="39"/>
      <c r="N425" s="39"/>
      <c r="P425" s="11">
        <f t="shared" si="70"/>
        <v>0</v>
      </c>
      <c r="R425" s="11">
        <f t="shared" si="71"/>
        <v>0</v>
      </c>
      <c r="S425" s="11">
        <f t="shared" si="72"/>
        <v>0</v>
      </c>
      <c r="T425" s="11">
        <f t="shared" si="73"/>
        <v>0</v>
      </c>
      <c r="U425" s="11">
        <f t="shared" si="74"/>
        <v>0</v>
      </c>
      <c r="V425" s="11">
        <f t="shared" si="75"/>
        <v>0</v>
      </c>
      <c r="W425" s="11">
        <f t="shared" si="76"/>
        <v>0</v>
      </c>
      <c r="X425" s="11">
        <f t="shared" si="77"/>
        <v>0</v>
      </c>
      <c r="Y425" s="6"/>
      <c r="Z425" s="4">
        <f t="shared" si="78"/>
        <v>0</v>
      </c>
      <c r="AA425" s="4">
        <f t="shared" si="79"/>
        <v>0</v>
      </c>
      <c r="AB425" s="4">
        <f t="shared" si="80"/>
        <v>0</v>
      </c>
      <c r="AD425" s="11">
        <v>21</v>
      </c>
      <c r="AE425" s="11">
        <f t="shared" si="81"/>
        <v>0</v>
      </c>
      <c r="AF425" s="11">
        <f t="shared" si="82"/>
        <v>0</v>
      </c>
      <c r="AG425" s="7" t="s">
        <v>504</v>
      </c>
      <c r="AM425" s="11">
        <f t="shared" si="83"/>
        <v>0</v>
      </c>
      <c r="AN425" s="11">
        <f t="shared" si="84"/>
        <v>0</v>
      </c>
      <c r="AO425" s="12" t="s">
        <v>200</v>
      </c>
      <c r="AP425" s="12" t="s">
        <v>228</v>
      </c>
      <c r="AQ425" s="6" t="s">
        <v>234</v>
      </c>
      <c r="AS425" s="11">
        <f t="shared" si="85"/>
        <v>0</v>
      </c>
      <c r="AT425" s="11">
        <f t="shared" si="86"/>
        <v>0</v>
      </c>
      <c r="AU425" s="11">
        <v>0</v>
      </c>
      <c r="AV425" s="11">
        <f t="shared" si="87"/>
        <v>0.344</v>
      </c>
    </row>
    <row r="426" spans="1:48" ht="12.75">
      <c r="A426" s="59" t="s">
        <v>715</v>
      </c>
      <c r="B426" s="59" t="s">
        <v>1092</v>
      </c>
      <c r="C426" s="59" t="s">
        <v>1635</v>
      </c>
      <c r="D426" s="59" t="s">
        <v>146</v>
      </c>
      <c r="E426" s="60">
        <v>25</v>
      </c>
      <c r="F426" s="61"/>
      <c r="G426" s="61">
        <f t="shared" si="66"/>
        <v>0</v>
      </c>
      <c r="H426" s="61">
        <f t="shared" si="67"/>
        <v>0</v>
      </c>
      <c r="I426" s="61">
        <f t="shared" si="68"/>
        <v>0</v>
      </c>
      <c r="J426" s="61">
        <v>0.00657</v>
      </c>
      <c r="K426" s="61">
        <f t="shared" si="69"/>
        <v>0.16425</v>
      </c>
      <c r="L426" s="62" t="s">
        <v>170</v>
      </c>
      <c r="M426" s="39"/>
      <c r="N426" s="39"/>
      <c r="P426" s="11">
        <f t="shared" si="70"/>
        <v>0</v>
      </c>
      <c r="R426" s="11">
        <f t="shared" si="71"/>
        <v>0</v>
      </c>
      <c r="S426" s="11">
        <f t="shared" si="72"/>
        <v>0</v>
      </c>
      <c r="T426" s="11">
        <f t="shared" si="73"/>
        <v>0</v>
      </c>
      <c r="U426" s="11">
        <f t="shared" si="74"/>
        <v>0</v>
      </c>
      <c r="V426" s="11">
        <f t="shared" si="75"/>
        <v>0</v>
      </c>
      <c r="W426" s="11">
        <f t="shared" si="76"/>
        <v>0</v>
      </c>
      <c r="X426" s="11">
        <f t="shared" si="77"/>
        <v>0</v>
      </c>
      <c r="Y426" s="6"/>
      <c r="Z426" s="4">
        <f t="shared" si="78"/>
        <v>0</v>
      </c>
      <c r="AA426" s="4">
        <f t="shared" si="79"/>
        <v>0</v>
      </c>
      <c r="AB426" s="4">
        <f t="shared" si="80"/>
        <v>0</v>
      </c>
      <c r="AD426" s="11">
        <v>21</v>
      </c>
      <c r="AE426" s="11">
        <f t="shared" si="81"/>
        <v>0</v>
      </c>
      <c r="AF426" s="11">
        <f t="shared" si="82"/>
        <v>0</v>
      </c>
      <c r="AG426" s="7" t="s">
        <v>504</v>
      </c>
      <c r="AM426" s="11">
        <f t="shared" si="83"/>
        <v>0</v>
      </c>
      <c r="AN426" s="11">
        <f t="shared" si="84"/>
        <v>0</v>
      </c>
      <c r="AO426" s="12" t="s">
        <v>200</v>
      </c>
      <c r="AP426" s="12" t="s">
        <v>228</v>
      </c>
      <c r="AQ426" s="6" t="s">
        <v>234</v>
      </c>
      <c r="AS426" s="11">
        <f t="shared" si="85"/>
        <v>0</v>
      </c>
      <c r="AT426" s="11">
        <f t="shared" si="86"/>
        <v>0</v>
      </c>
      <c r="AU426" s="11">
        <v>0</v>
      </c>
      <c r="AV426" s="11">
        <f t="shared" si="87"/>
        <v>0.16425</v>
      </c>
    </row>
    <row r="427" spans="1:48" ht="12.75">
      <c r="A427" s="59" t="s">
        <v>716</v>
      </c>
      <c r="B427" s="59" t="s">
        <v>1093</v>
      </c>
      <c r="C427" s="59" t="s">
        <v>1636</v>
      </c>
      <c r="D427" s="59" t="s">
        <v>146</v>
      </c>
      <c r="E427" s="60">
        <v>82</v>
      </c>
      <c r="F427" s="61"/>
      <c r="G427" s="61">
        <f t="shared" si="66"/>
        <v>0</v>
      </c>
      <c r="H427" s="61">
        <f t="shared" si="67"/>
        <v>0</v>
      </c>
      <c r="I427" s="61">
        <f t="shared" si="68"/>
        <v>0</v>
      </c>
      <c r="J427" s="61">
        <v>0.00742</v>
      </c>
      <c r="K427" s="61">
        <f t="shared" si="69"/>
        <v>0.60844</v>
      </c>
      <c r="L427" s="62" t="s">
        <v>170</v>
      </c>
      <c r="M427" s="39"/>
      <c r="N427" s="39"/>
      <c r="P427" s="11">
        <f t="shared" si="70"/>
        <v>0</v>
      </c>
      <c r="R427" s="11">
        <f t="shared" si="71"/>
        <v>0</v>
      </c>
      <c r="S427" s="11">
        <f t="shared" si="72"/>
        <v>0</v>
      </c>
      <c r="T427" s="11">
        <f t="shared" si="73"/>
        <v>0</v>
      </c>
      <c r="U427" s="11">
        <f t="shared" si="74"/>
        <v>0</v>
      </c>
      <c r="V427" s="11">
        <f t="shared" si="75"/>
        <v>0</v>
      </c>
      <c r="W427" s="11">
        <f t="shared" si="76"/>
        <v>0</v>
      </c>
      <c r="X427" s="11">
        <f t="shared" si="77"/>
        <v>0</v>
      </c>
      <c r="Y427" s="6"/>
      <c r="Z427" s="4">
        <f t="shared" si="78"/>
        <v>0</v>
      </c>
      <c r="AA427" s="4">
        <f t="shared" si="79"/>
        <v>0</v>
      </c>
      <c r="AB427" s="4">
        <f t="shared" si="80"/>
        <v>0</v>
      </c>
      <c r="AD427" s="11">
        <v>21</v>
      </c>
      <c r="AE427" s="11">
        <f t="shared" si="81"/>
        <v>0</v>
      </c>
      <c r="AF427" s="11">
        <f t="shared" si="82"/>
        <v>0</v>
      </c>
      <c r="AG427" s="7" t="s">
        <v>504</v>
      </c>
      <c r="AM427" s="11">
        <f t="shared" si="83"/>
        <v>0</v>
      </c>
      <c r="AN427" s="11">
        <f t="shared" si="84"/>
        <v>0</v>
      </c>
      <c r="AO427" s="12" t="s">
        <v>200</v>
      </c>
      <c r="AP427" s="12" t="s">
        <v>228</v>
      </c>
      <c r="AQ427" s="6" t="s">
        <v>234</v>
      </c>
      <c r="AS427" s="11">
        <f t="shared" si="85"/>
        <v>0</v>
      </c>
      <c r="AT427" s="11">
        <f t="shared" si="86"/>
        <v>0</v>
      </c>
      <c r="AU427" s="11">
        <v>0</v>
      </c>
      <c r="AV427" s="11">
        <f t="shared" si="87"/>
        <v>0.60844</v>
      </c>
    </row>
    <row r="428" spans="1:48" ht="12.75">
      <c r="A428" s="59" t="s">
        <v>717</v>
      </c>
      <c r="B428" s="59" t="s">
        <v>1094</v>
      </c>
      <c r="C428" s="59" t="s">
        <v>1637</v>
      </c>
      <c r="D428" s="59" t="s">
        <v>144</v>
      </c>
      <c r="E428" s="60">
        <v>26</v>
      </c>
      <c r="F428" s="61"/>
      <c r="G428" s="61">
        <f t="shared" si="66"/>
        <v>0</v>
      </c>
      <c r="H428" s="61">
        <f t="shared" si="67"/>
        <v>0</v>
      </c>
      <c r="I428" s="61">
        <f t="shared" si="68"/>
        <v>0</v>
      </c>
      <c r="J428" s="61">
        <v>0</v>
      </c>
      <c r="K428" s="61">
        <f t="shared" si="69"/>
        <v>0</v>
      </c>
      <c r="L428" s="62" t="s">
        <v>170</v>
      </c>
      <c r="M428" s="39"/>
      <c r="N428" s="39"/>
      <c r="P428" s="11">
        <f t="shared" si="70"/>
        <v>0</v>
      </c>
      <c r="R428" s="11">
        <f t="shared" si="71"/>
        <v>0</v>
      </c>
      <c r="S428" s="11">
        <f t="shared" si="72"/>
        <v>0</v>
      </c>
      <c r="T428" s="11">
        <f t="shared" si="73"/>
        <v>0</v>
      </c>
      <c r="U428" s="11">
        <f t="shared" si="74"/>
        <v>0</v>
      </c>
      <c r="V428" s="11">
        <f t="shared" si="75"/>
        <v>0</v>
      </c>
      <c r="W428" s="11">
        <f t="shared" si="76"/>
        <v>0</v>
      </c>
      <c r="X428" s="11">
        <f t="shared" si="77"/>
        <v>0</v>
      </c>
      <c r="Y428" s="6"/>
      <c r="Z428" s="4">
        <f t="shared" si="78"/>
        <v>0</v>
      </c>
      <c r="AA428" s="4">
        <f t="shared" si="79"/>
        <v>0</v>
      </c>
      <c r="AB428" s="4">
        <f t="shared" si="80"/>
        <v>0</v>
      </c>
      <c r="AD428" s="11">
        <v>21</v>
      </c>
      <c r="AE428" s="11">
        <f t="shared" si="81"/>
        <v>0</v>
      </c>
      <c r="AF428" s="11">
        <f t="shared" si="82"/>
        <v>0</v>
      </c>
      <c r="AG428" s="7" t="s">
        <v>504</v>
      </c>
      <c r="AM428" s="11">
        <f t="shared" si="83"/>
        <v>0</v>
      </c>
      <c r="AN428" s="11">
        <f t="shared" si="84"/>
        <v>0</v>
      </c>
      <c r="AO428" s="12" t="s">
        <v>200</v>
      </c>
      <c r="AP428" s="12" t="s">
        <v>228</v>
      </c>
      <c r="AQ428" s="6" t="s">
        <v>234</v>
      </c>
      <c r="AS428" s="11">
        <f t="shared" si="85"/>
        <v>0</v>
      </c>
      <c r="AT428" s="11">
        <f t="shared" si="86"/>
        <v>0</v>
      </c>
      <c r="AU428" s="11">
        <v>0</v>
      </c>
      <c r="AV428" s="11">
        <f t="shared" si="87"/>
        <v>0</v>
      </c>
    </row>
    <row r="429" spans="1:48" ht="12.75">
      <c r="A429" s="59" t="s">
        <v>718</v>
      </c>
      <c r="B429" s="59" t="s">
        <v>1095</v>
      </c>
      <c r="C429" s="59" t="s">
        <v>1638</v>
      </c>
      <c r="D429" s="59" t="s">
        <v>144</v>
      </c>
      <c r="E429" s="60">
        <v>4</v>
      </c>
      <c r="F429" s="61"/>
      <c r="G429" s="61">
        <f t="shared" si="66"/>
        <v>0</v>
      </c>
      <c r="H429" s="61">
        <f t="shared" si="67"/>
        <v>0</v>
      </c>
      <c r="I429" s="61">
        <f t="shared" si="68"/>
        <v>0</v>
      </c>
      <c r="J429" s="61">
        <v>0</v>
      </c>
      <c r="K429" s="61">
        <f t="shared" si="69"/>
        <v>0</v>
      </c>
      <c r="L429" s="62" t="s">
        <v>170</v>
      </c>
      <c r="M429" s="39"/>
      <c r="N429" s="39"/>
      <c r="P429" s="11">
        <f t="shared" si="70"/>
        <v>0</v>
      </c>
      <c r="R429" s="11">
        <f t="shared" si="71"/>
        <v>0</v>
      </c>
      <c r="S429" s="11">
        <f t="shared" si="72"/>
        <v>0</v>
      </c>
      <c r="T429" s="11">
        <f t="shared" si="73"/>
        <v>0</v>
      </c>
      <c r="U429" s="11">
        <f t="shared" si="74"/>
        <v>0</v>
      </c>
      <c r="V429" s="11">
        <f t="shared" si="75"/>
        <v>0</v>
      </c>
      <c r="W429" s="11">
        <f t="shared" si="76"/>
        <v>0</v>
      </c>
      <c r="X429" s="11">
        <f t="shared" si="77"/>
        <v>0</v>
      </c>
      <c r="Y429" s="6"/>
      <c r="Z429" s="4">
        <f t="shared" si="78"/>
        <v>0</v>
      </c>
      <c r="AA429" s="4">
        <f t="shared" si="79"/>
        <v>0</v>
      </c>
      <c r="AB429" s="4">
        <f t="shared" si="80"/>
        <v>0</v>
      </c>
      <c r="AD429" s="11">
        <v>21</v>
      </c>
      <c r="AE429" s="11">
        <f t="shared" si="81"/>
        <v>0</v>
      </c>
      <c r="AF429" s="11">
        <f t="shared" si="82"/>
        <v>0</v>
      </c>
      <c r="AG429" s="7" t="s">
        <v>504</v>
      </c>
      <c r="AM429" s="11">
        <f t="shared" si="83"/>
        <v>0</v>
      </c>
      <c r="AN429" s="11">
        <f t="shared" si="84"/>
        <v>0</v>
      </c>
      <c r="AO429" s="12" t="s">
        <v>200</v>
      </c>
      <c r="AP429" s="12" t="s">
        <v>228</v>
      </c>
      <c r="AQ429" s="6" t="s">
        <v>234</v>
      </c>
      <c r="AS429" s="11">
        <f t="shared" si="85"/>
        <v>0</v>
      </c>
      <c r="AT429" s="11">
        <f t="shared" si="86"/>
        <v>0</v>
      </c>
      <c r="AU429" s="11">
        <v>0</v>
      </c>
      <c r="AV429" s="11">
        <f t="shared" si="87"/>
        <v>0</v>
      </c>
    </row>
    <row r="430" spans="1:48" ht="12.75">
      <c r="A430" s="59" t="s">
        <v>719</v>
      </c>
      <c r="B430" s="59" t="s">
        <v>1096</v>
      </c>
      <c r="C430" s="59" t="s">
        <v>1639</v>
      </c>
      <c r="D430" s="59" t="s">
        <v>146</v>
      </c>
      <c r="E430" s="60">
        <v>212</v>
      </c>
      <c r="F430" s="61"/>
      <c r="G430" s="61">
        <f t="shared" si="66"/>
        <v>0</v>
      </c>
      <c r="H430" s="61">
        <f t="shared" si="67"/>
        <v>0</v>
      </c>
      <c r="I430" s="61">
        <f t="shared" si="68"/>
        <v>0</v>
      </c>
      <c r="J430" s="61">
        <v>0</v>
      </c>
      <c r="K430" s="61">
        <f t="shared" si="69"/>
        <v>0</v>
      </c>
      <c r="L430" s="62" t="s">
        <v>170</v>
      </c>
      <c r="M430" s="39"/>
      <c r="N430" s="39"/>
      <c r="P430" s="11">
        <f t="shared" si="70"/>
        <v>0</v>
      </c>
      <c r="R430" s="11">
        <f t="shared" si="71"/>
        <v>0</v>
      </c>
      <c r="S430" s="11">
        <f t="shared" si="72"/>
        <v>0</v>
      </c>
      <c r="T430" s="11">
        <f t="shared" si="73"/>
        <v>0</v>
      </c>
      <c r="U430" s="11">
        <f t="shared" si="74"/>
        <v>0</v>
      </c>
      <c r="V430" s="11">
        <f t="shared" si="75"/>
        <v>0</v>
      </c>
      <c r="W430" s="11">
        <f t="shared" si="76"/>
        <v>0</v>
      </c>
      <c r="X430" s="11">
        <f t="shared" si="77"/>
        <v>0</v>
      </c>
      <c r="Y430" s="6"/>
      <c r="Z430" s="4">
        <f t="shared" si="78"/>
        <v>0</v>
      </c>
      <c r="AA430" s="4">
        <f t="shared" si="79"/>
        <v>0</v>
      </c>
      <c r="AB430" s="4">
        <f t="shared" si="80"/>
        <v>0</v>
      </c>
      <c r="AD430" s="11">
        <v>21</v>
      </c>
      <c r="AE430" s="11">
        <f t="shared" si="81"/>
        <v>0</v>
      </c>
      <c r="AF430" s="11">
        <f t="shared" si="82"/>
        <v>0</v>
      </c>
      <c r="AG430" s="7" t="s">
        <v>504</v>
      </c>
      <c r="AM430" s="11">
        <f t="shared" si="83"/>
        <v>0</v>
      </c>
      <c r="AN430" s="11">
        <f t="shared" si="84"/>
        <v>0</v>
      </c>
      <c r="AO430" s="12" t="s">
        <v>200</v>
      </c>
      <c r="AP430" s="12" t="s">
        <v>228</v>
      </c>
      <c r="AQ430" s="6" t="s">
        <v>234</v>
      </c>
      <c r="AS430" s="11">
        <f t="shared" si="85"/>
        <v>0</v>
      </c>
      <c r="AT430" s="11">
        <f t="shared" si="86"/>
        <v>0</v>
      </c>
      <c r="AU430" s="11">
        <v>0</v>
      </c>
      <c r="AV430" s="11">
        <f t="shared" si="87"/>
        <v>0</v>
      </c>
    </row>
    <row r="431" spans="1:48" ht="12.75">
      <c r="A431" s="59" t="s">
        <v>720</v>
      </c>
      <c r="B431" s="59" t="s">
        <v>1097</v>
      </c>
      <c r="C431" s="59" t="s">
        <v>1640</v>
      </c>
      <c r="D431" s="59" t="s">
        <v>144</v>
      </c>
      <c r="E431" s="60">
        <v>4</v>
      </c>
      <c r="F431" s="61"/>
      <c r="G431" s="61">
        <f t="shared" si="66"/>
        <v>0</v>
      </c>
      <c r="H431" s="61">
        <f t="shared" si="67"/>
        <v>0</v>
      </c>
      <c r="I431" s="61">
        <f t="shared" si="68"/>
        <v>0</v>
      </c>
      <c r="J431" s="61">
        <v>0.00125</v>
      </c>
      <c r="K431" s="61">
        <f t="shared" si="69"/>
        <v>0.005</v>
      </c>
      <c r="L431" s="62" t="s">
        <v>170</v>
      </c>
      <c r="M431" s="39"/>
      <c r="N431" s="39"/>
      <c r="P431" s="11">
        <f t="shared" si="70"/>
        <v>0</v>
      </c>
      <c r="R431" s="11">
        <f t="shared" si="71"/>
        <v>0</v>
      </c>
      <c r="S431" s="11">
        <f t="shared" si="72"/>
        <v>0</v>
      </c>
      <c r="T431" s="11">
        <f t="shared" si="73"/>
        <v>0</v>
      </c>
      <c r="U431" s="11">
        <f t="shared" si="74"/>
        <v>0</v>
      </c>
      <c r="V431" s="11">
        <f t="shared" si="75"/>
        <v>0</v>
      </c>
      <c r="W431" s="11">
        <f t="shared" si="76"/>
        <v>0</v>
      </c>
      <c r="X431" s="11">
        <f t="shared" si="77"/>
        <v>0</v>
      </c>
      <c r="Y431" s="6"/>
      <c r="Z431" s="4">
        <f t="shared" si="78"/>
        <v>0</v>
      </c>
      <c r="AA431" s="4">
        <f t="shared" si="79"/>
        <v>0</v>
      </c>
      <c r="AB431" s="4">
        <f t="shared" si="80"/>
        <v>0</v>
      </c>
      <c r="AD431" s="11">
        <v>21</v>
      </c>
      <c r="AE431" s="11">
        <f t="shared" si="81"/>
        <v>0</v>
      </c>
      <c r="AF431" s="11">
        <f t="shared" si="82"/>
        <v>0</v>
      </c>
      <c r="AG431" s="7" t="s">
        <v>504</v>
      </c>
      <c r="AM431" s="11">
        <f t="shared" si="83"/>
        <v>0</v>
      </c>
      <c r="AN431" s="11">
        <f t="shared" si="84"/>
        <v>0</v>
      </c>
      <c r="AO431" s="12" t="s">
        <v>200</v>
      </c>
      <c r="AP431" s="12" t="s">
        <v>228</v>
      </c>
      <c r="AQ431" s="6" t="s">
        <v>234</v>
      </c>
      <c r="AS431" s="11">
        <f t="shared" si="85"/>
        <v>0</v>
      </c>
      <c r="AT431" s="11">
        <f t="shared" si="86"/>
        <v>0</v>
      </c>
      <c r="AU431" s="11">
        <v>0</v>
      </c>
      <c r="AV431" s="11">
        <f t="shared" si="87"/>
        <v>0.005</v>
      </c>
    </row>
    <row r="432" spans="1:48" ht="12.75">
      <c r="A432" s="59" t="s">
        <v>721</v>
      </c>
      <c r="B432" s="59" t="s">
        <v>1098</v>
      </c>
      <c r="C432" s="59" t="s">
        <v>1641</v>
      </c>
      <c r="D432" s="59" t="s">
        <v>146</v>
      </c>
      <c r="E432" s="60">
        <v>17</v>
      </c>
      <c r="F432" s="61"/>
      <c r="G432" s="61">
        <f t="shared" si="66"/>
        <v>0</v>
      </c>
      <c r="H432" s="61">
        <f t="shared" si="67"/>
        <v>0</v>
      </c>
      <c r="I432" s="61">
        <f t="shared" si="68"/>
        <v>0</v>
      </c>
      <c r="J432" s="61">
        <v>0.08149</v>
      </c>
      <c r="K432" s="61">
        <f t="shared" si="69"/>
        <v>1.3853300000000002</v>
      </c>
      <c r="L432" s="62" t="s">
        <v>170</v>
      </c>
      <c r="M432" s="39"/>
      <c r="N432" s="39"/>
      <c r="P432" s="11">
        <f t="shared" si="70"/>
        <v>0</v>
      </c>
      <c r="R432" s="11">
        <f t="shared" si="71"/>
        <v>0</v>
      </c>
      <c r="S432" s="11">
        <f t="shared" si="72"/>
        <v>0</v>
      </c>
      <c r="T432" s="11">
        <f t="shared" si="73"/>
        <v>0</v>
      </c>
      <c r="U432" s="11">
        <f t="shared" si="74"/>
        <v>0</v>
      </c>
      <c r="V432" s="11">
        <f t="shared" si="75"/>
        <v>0</v>
      </c>
      <c r="W432" s="11">
        <f t="shared" si="76"/>
        <v>0</v>
      </c>
      <c r="X432" s="11">
        <f t="shared" si="77"/>
        <v>0</v>
      </c>
      <c r="Y432" s="6"/>
      <c r="Z432" s="4">
        <f t="shared" si="78"/>
        <v>0</v>
      </c>
      <c r="AA432" s="4">
        <f t="shared" si="79"/>
        <v>0</v>
      </c>
      <c r="AB432" s="4">
        <f t="shared" si="80"/>
        <v>0</v>
      </c>
      <c r="AD432" s="11">
        <v>21</v>
      </c>
      <c r="AE432" s="11">
        <f t="shared" si="81"/>
        <v>0</v>
      </c>
      <c r="AF432" s="11">
        <f t="shared" si="82"/>
        <v>0</v>
      </c>
      <c r="AG432" s="7" t="s">
        <v>504</v>
      </c>
      <c r="AM432" s="11">
        <f t="shared" si="83"/>
        <v>0</v>
      </c>
      <c r="AN432" s="11">
        <f t="shared" si="84"/>
        <v>0</v>
      </c>
      <c r="AO432" s="12" t="s">
        <v>200</v>
      </c>
      <c r="AP432" s="12" t="s">
        <v>228</v>
      </c>
      <c r="AQ432" s="6" t="s">
        <v>234</v>
      </c>
      <c r="AS432" s="11">
        <f t="shared" si="85"/>
        <v>0</v>
      </c>
      <c r="AT432" s="11">
        <f t="shared" si="86"/>
        <v>0</v>
      </c>
      <c r="AU432" s="11">
        <v>0</v>
      </c>
      <c r="AV432" s="11">
        <f t="shared" si="87"/>
        <v>1.3853300000000002</v>
      </c>
    </row>
    <row r="433" spans="1:48" ht="12.75">
      <c r="A433" s="59" t="s">
        <v>722</v>
      </c>
      <c r="B433" s="59" t="s">
        <v>1099</v>
      </c>
      <c r="C433" s="59" t="s">
        <v>1642</v>
      </c>
      <c r="D433" s="59" t="s">
        <v>143</v>
      </c>
      <c r="E433" s="60">
        <v>0.016</v>
      </c>
      <c r="F433" s="61"/>
      <c r="G433" s="61">
        <f t="shared" si="66"/>
        <v>0</v>
      </c>
      <c r="H433" s="61">
        <f t="shared" si="67"/>
        <v>0</v>
      </c>
      <c r="I433" s="61">
        <f t="shared" si="68"/>
        <v>0</v>
      </c>
      <c r="J433" s="61">
        <v>0</v>
      </c>
      <c r="K433" s="61">
        <f t="shared" si="69"/>
        <v>0</v>
      </c>
      <c r="L433" s="62" t="s">
        <v>170</v>
      </c>
      <c r="M433" s="39"/>
      <c r="N433" s="39"/>
      <c r="P433" s="11">
        <f t="shared" si="70"/>
        <v>0</v>
      </c>
      <c r="R433" s="11">
        <f t="shared" si="71"/>
        <v>0</v>
      </c>
      <c r="S433" s="11">
        <f t="shared" si="72"/>
        <v>0</v>
      </c>
      <c r="T433" s="11">
        <f t="shared" si="73"/>
        <v>0</v>
      </c>
      <c r="U433" s="11">
        <f t="shared" si="74"/>
        <v>0</v>
      </c>
      <c r="V433" s="11">
        <f t="shared" si="75"/>
        <v>0</v>
      </c>
      <c r="W433" s="11">
        <f t="shared" si="76"/>
        <v>0</v>
      </c>
      <c r="X433" s="11">
        <f t="shared" si="77"/>
        <v>0</v>
      </c>
      <c r="Y433" s="6"/>
      <c r="Z433" s="4">
        <f t="shared" si="78"/>
        <v>0</v>
      </c>
      <c r="AA433" s="4">
        <f t="shared" si="79"/>
        <v>0</v>
      </c>
      <c r="AB433" s="4">
        <f t="shared" si="80"/>
        <v>0</v>
      </c>
      <c r="AD433" s="11">
        <v>21</v>
      </c>
      <c r="AE433" s="11">
        <f t="shared" si="81"/>
        <v>0</v>
      </c>
      <c r="AF433" s="11">
        <f t="shared" si="82"/>
        <v>0</v>
      </c>
      <c r="AG433" s="7" t="s">
        <v>504</v>
      </c>
      <c r="AM433" s="11">
        <f t="shared" si="83"/>
        <v>0</v>
      </c>
      <c r="AN433" s="11">
        <f t="shared" si="84"/>
        <v>0</v>
      </c>
      <c r="AO433" s="12" t="s">
        <v>200</v>
      </c>
      <c r="AP433" s="12" t="s">
        <v>228</v>
      </c>
      <c r="AQ433" s="6" t="s">
        <v>234</v>
      </c>
      <c r="AS433" s="11">
        <f t="shared" si="85"/>
        <v>0</v>
      </c>
      <c r="AT433" s="11">
        <f t="shared" si="86"/>
        <v>0</v>
      </c>
      <c r="AU433" s="11">
        <v>0</v>
      </c>
      <c r="AV433" s="11">
        <f t="shared" si="87"/>
        <v>0</v>
      </c>
    </row>
    <row r="434" spans="1:48" ht="12.75">
      <c r="A434" s="59" t="s">
        <v>723</v>
      </c>
      <c r="B434" s="59" t="s">
        <v>1100</v>
      </c>
      <c r="C434" s="59" t="s">
        <v>1643</v>
      </c>
      <c r="D434" s="59" t="s">
        <v>143</v>
      </c>
      <c r="E434" s="60">
        <v>1.501</v>
      </c>
      <c r="F434" s="61"/>
      <c r="G434" s="61">
        <f t="shared" si="66"/>
        <v>0</v>
      </c>
      <c r="H434" s="61">
        <f t="shared" si="67"/>
        <v>0</v>
      </c>
      <c r="I434" s="61">
        <f t="shared" si="68"/>
        <v>0</v>
      </c>
      <c r="J434" s="61">
        <v>0</v>
      </c>
      <c r="K434" s="61">
        <f t="shared" si="69"/>
        <v>0</v>
      </c>
      <c r="L434" s="62" t="s">
        <v>170</v>
      </c>
      <c r="M434" s="39"/>
      <c r="N434" s="39"/>
      <c r="P434" s="11">
        <f t="shared" si="70"/>
        <v>0</v>
      </c>
      <c r="R434" s="11">
        <f t="shared" si="71"/>
        <v>0</v>
      </c>
      <c r="S434" s="11">
        <f t="shared" si="72"/>
        <v>0</v>
      </c>
      <c r="T434" s="11">
        <f t="shared" si="73"/>
        <v>0</v>
      </c>
      <c r="U434" s="11">
        <f t="shared" si="74"/>
        <v>0</v>
      </c>
      <c r="V434" s="11">
        <f t="shared" si="75"/>
        <v>0</v>
      </c>
      <c r="W434" s="11">
        <f t="shared" si="76"/>
        <v>0</v>
      </c>
      <c r="X434" s="11">
        <f t="shared" si="77"/>
        <v>0</v>
      </c>
      <c r="Y434" s="6"/>
      <c r="Z434" s="4">
        <f t="shared" si="78"/>
        <v>0</v>
      </c>
      <c r="AA434" s="4">
        <f t="shared" si="79"/>
        <v>0</v>
      </c>
      <c r="AB434" s="4">
        <f t="shared" si="80"/>
        <v>0</v>
      </c>
      <c r="AD434" s="11">
        <v>21</v>
      </c>
      <c r="AE434" s="11">
        <f t="shared" si="81"/>
        <v>0</v>
      </c>
      <c r="AF434" s="11">
        <f t="shared" si="82"/>
        <v>0</v>
      </c>
      <c r="AG434" s="7" t="s">
        <v>504</v>
      </c>
      <c r="AM434" s="11">
        <f t="shared" si="83"/>
        <v>0</v>
      </c>
      <c r="AN434" s="11">
        <f t="shared" si="84"/>
        <v>0</v>
      </c>
      <c r="AO434" s="12" t="s">
        <v>200</v>
      </c>
      <c r="AP434" s="12" t="s">
        <v>228</v>
      </c>
      <c r="AQ434" s="6" t="s">
        <v>234</v>
      </c>
      <c r="AS434" s="11">
        <f t="shared" si="85"/>
        <v>0</v>
      </c>
      <c r="AT434" s="11">
        <f t="shared" si="86"/>
        <v>0</v>
      </c>
      <c r="AU434" s="11">
        <v>0</v>
      </c>
      <c r="AV434" s="11">
        <f t="shared" si="87"/>
        <v>0</v>
      </c>
    </row>
    <row r="435" spans="1:48" ht="12.75">
      <c r="A435" s="59" t="s">
        <v>724</v>
      </c>
      <c r="B435" s="59" t="s">
        <v>1101</v>
      </c>
      <c r="C435" s="59" t="s">
        <v>1644</v>
      </c>
      <c r="D435" s="59" t="s">
        <v>143</v>
      </c>
      <c r="E435" s="60">
        <v>1.317</v>
      </c>
      <c r="F435" s="61"/>
      <c r="G435" s="61">
        <f t="shared" si="66"/>
        <v>0</v>
      </c>
      <c r="H435" s="61">
        <f t="shared" si="67"/>
        <v>0</v>
      </c>
      <c r="I435" s="61">
        <f t="shared" si="68"/>
        <v>0</v>
      </c>
      <c r="J435" s="61">
        <v>0</v>
      </c>
      <c r="K435" s="61">
        <f t="shared" si="69"/>
        <v>0</v>
      </c>
      <c r="L435" s="62" t="s">
        <v>170</v>
      </c>
      <c r="M435" s="39"/>
      <c r="N435" s="39"/>
      <c r="P435" s="11">
        <f t="shared" si="70"/>
        <v>0</v>
      </c>
      <c r="R435" s="11">
        <f t="shared" si="71"/>
        <v>0</v>
      </c>
      <c r="S435" s="11">
        <f t="shared" si="72"/>
        <v>0</v>
      </c>
      <c r="T435" s="11">
        <f t="shared" si="73"/>
        <v>0</v>
      </c>
      <c r="U435" s="11">
        <f t="shared" si="74"/>
        <v>0</v>
      </c>
      <c r="V435" s="11">
        <f t="shared" si="75"/>
        <v>0</v>
      </c>
      <c r="W435" s="11">
        <f t="shared" si="76"/>
        <v>0</v>
      </c>
      <c r="X435" s="11">
        <f t="shared" si="77"/>
        <v>0</v>
      </c>
      <c r="Y435" s="6"/>
      <c r="Z435" s="4">
        <f t="shared" si="78"/>
        <v>0</v>
      </c>
      <c r="AA435" s="4">
        <f t="shared" si="79"/>
        <v>0</v>
      </c>
      <c r="AB435" s="4">
        <f t="shared" si="80"/>
        <v>0</v>
      </c>
      <c r="AD435" s="11">
        <v>21</v>
      </c>
      <c r="AE435" s="11">
        <f t="shared" si="81"/>
        <v>0</v>
      </c>
      <c r="AF435" s="11">
        <f t="shared" si="82"/>
        <v>0</v>
      </c>
      <c r="AG435" s="7" t="s">
        <v>504</v>
      </c>
      <c r="AM435" s="11">
        <f t="shared" si="83"/>
        <v>0</v>
      </c>
      <c r="AN435" s="11">
        <f t="shared" si="84"/>
        <v>0</v>
      </c>
      <c r="AO435" s="12" t="s">
        <v>200</v>
      </c>
      <c r="AP435" s="12" t="s">
        <v>228</v>
      </c>
      <c r="AQ435" s="6" t="s">
        <v>234</v>
      </c>
      <c r="AS435" s="11">
        <f t="shared" si="85"/>
        <v>0</v>
      </c>
      <c r="AT435" s="11">
        <f t="shared" si="86"/>
        <v>0</v>
      </c>
      <c r="AU435" s="11">
        <v>0</v>
      </c>
      <c r="AV435" s="11">
        <f t="shared" si="87"/>
        <v>0</v>
      </c>
    </row>
    <row r="436" spans="1:37" ht="12.75">
      <c r="A436" s="66"/>
      <c r="B436" s="67" t="s">
        <v>1102</v>
      </c>
      <c r="C436" s="305" t="s">
        <v>1645</v>
      </c>
      <c r="D436" s="306"/>
      <c r="E436" s="306"/>
      <c r="F436" s="306"/>
      <c r="G436" s="68">
        <f>SUM(G437:G449)</f>
        <v>0</v>
      </c>
      <c r="H436" s="68">
        <f>SUM(H437:H449)</f>
        <v>0</v>
      </c>
      <c r="I436" s="68">
        <f>G436+H436</f>
        <v>0</v>
      </c>
      <c r="J436" s="69"/>
      <c r="K436" s="68">
        <f>SUM(K437:K449)</f>
        <v>0.047069999999999994</v>
      </c>
      <c r="L436" s="69"/>
      <c r="M436" s="39"/>
      <c r="N436" s="39"/>
      <c r="Y436" s="6"/>
      <c r="AI436" s="13">
        <f>SUM(Z437:Z449)</f>
        <v>0</v>
      </c>
      <c r="AJ436" s="13">
        <f>SUM(AA437:AA449)</f>
        <v>0</v>
      </c>
      <c r="AK436" s="13">
        <f>SUM(AB437:AB449)</f>
        <v>0</v>
      </c>
    </row>
    <row r="437" spans="1:48" ht="12.75">
      <c r="A437" s="59" t="s">
        <v>725</v>
      </c>
      <c r="B437" s="59" t="s">
        <v>1103</v>
      </c>
      <c r="C437" s="59" t="s">
        <v>1646</v>
      </c>
      <c r="D437" s="59" t="s">
        <v>148</v>
      </c>
      <c r="E437" s="60">
        <v>2</v>
      </c>
      <c r="F437" s="61"/>
      <c r="G437" s="61">
        <f aca="true" t="shared" si="88" ref="G437:G449">E437*AE437</f>
        <v>0</v>
      </c>
      <c r="H437" s="61">
        <f aca="true" t="shared" si="89" ref="H437:H449">I437-G437</f>
        <v>0</v>
      </c>
      <c r="I437" s="61">
        <f aca="true" t="shared" si="90" ref="I437:I449">E437*F437</f>
        <v>0</v>
      </c>
      <c r="J437" s="61">
        <v>0.01894</v>
      </c>
      <c r="K437" s="61">
        <f aca="true" t="shared" si="91" ref="K437:K449">E437*J437</f>
        <v>0.03788</v>
      </c>
      <c r="L437" s="62" t="s">
        <v>170</v>
      </c>
      <c r="M437" s="39"/>
      <c r="N437" s="39"/>
      <c r="P437" s="11">
        <f aca="true" t="shared" si="92" ref="P437:P449">IF(AG437="5",I437,0)</f>
        <v>0</v>
      </c>
      <c r="R437" s="11">
        <f aca="true" t="shared" si="93" ref="R437:R449">IF(AG437="1",G437,0)</f>
        <v>0</v>
      </c>
      <c r="S437" s="11">
        <f aca="true" t="shared" si="94" ref="S437:S449">IF(AG437="1",H437,0)</f>
        <v>0</v>
      </c>
      <c r="T437" s="11">
        <f aca="true" t="shared" si="95" ref="T437:T449">IF(AG437="7",G437,0)</f>
        <v>0</v>
      </c>
      <c r="U437" s="11">
        <f aca="true" t="shared" si="96" ref="U437:U449">IF(AG437="7",H437,0)</f>
        <v>0</v>
      </c>
      <c r="V437" s="11">
        <f aca="true" t="shared" si="97" ref="V437:V449">IF(AG437="2",G437,0)</f>
        <v>0</v>
      </c>
      <c r="W437" s="11">
        <f aca="true" t="shared" si="98" ref="W437:W449">IF(AG437="2",H437,0)</f>
        <v>0</v>
      </c>
      <c r="X437" s="11">
        <f aca="true" t="shared" si="99" ref="X437:X449">IF(AG437="0",I437,0)</f>
        <v>0</v>
      </c>
      <c r="Y437" s="6"/>
      <c r="Z437" s="4">
        <f aca="true" t="shared" si="100" ref="Z437:Z449">IF(AD437=0,I437,0)</f>
        <v>0</v>
      </c>
      <c r="AA437" s="4">
        <f aca="true" t="shared" si="101" ref="AA437:AA449">IF(AD437=15,I437,0)</f>
        <v>0</v>
      </c>
      <c r="AB437" s="4">
        <f aca="true" t="shared" si="102" ref="AB437:AB449">IF(AD437=21,I437,0)</f>
        <v>0</v>
      </c>
      <c r="AD437" s="11">
        <v>21</v>
      </c>
      <c r="AE437" s="11">
        <f aca="true" t="shared" si="103" ref="AE437:AE449">F437*0</f>
        <v>0</v>
      </c>
      <c r="AF437" s="11">
        <f aca="true" t="shared" si="104" ref="AF437:AF449">F437*(1-0)</f>
        <v>0</v>
      </c>
      <c r="AG437" s="7" t="s">
        <v>504</v>
      </c>
      <c r="AM437" s="11">
        <f aca="true" t="shared" si="105" ref="AM437:AM449">E437*AE437</f>
        <v>0</v>
      </c>
      <c r="AN437" s="11">
        <f aca="true" t="shared" si="106" ref="AN437:AN449">E437*AF437</f>
        <v>0</v>
      </c>
      <c r="AO437" s="12" t="s">
        <v>201</v>
      </c>
      <c r="AP437" s="12" t="s">
        <v>228</v>
      </c>
      <c r="AQ437" s="6" t="s">
        <v>234</v>
      </c>
      <c r="AS437" s="11">
        <f aca="true" t="shared" si="107" ref="AS437:AS449">AM437+AN437</f>
        <v>0</v>
      </c>
      <c r="AT437" s="11">
        <f aca="true" t="shared" si="108" ref="AT437:AT449">F437/(100-AU437)*100</f>
        <v>0</v>
      </c>
      <c r="AU437" s="11">
        <v>0</v>
      </c>
      <c r="AV437" s="11">
        <f aca="true" t="shared" si="109" ref="AV437:AV449">K437</f>
        <v>0.03788</v>
      </c>
    </row>
    <row r="438" spans="1:48" ht="12.75">
      <c r="A438" s="59" t="s">
        <v>726</v>
      </c>
      <c r="B438" s="59" t="s">
        <v>1104</v>
      </c>
      <c r="C438" s="59" t="s">
        <v>1647</v>
      </c>
      <c r="D438" s="59" t="s">
        <v>144</v>
      </c>
      <c r="E438" s="60">
        <v>2</v>
      </c>
      <c r="F438" s="61"/>
      <c r="G438" s="61">
        <f t="shared" si="88"/>
        <v>0</v>
      </c>
      <c r="H438" s="61">
        <f t="shared" si="89"/>
        <v>0</v>
      </c>
      <c r="I438" s="61">
        <f t="shared" si="90"/>
        <v>0</v>
      </c>
      <c r="J438" s="61">
        <v>2E-05</v>
      </c>
      <c r="K438" s="61">
        <f t="shared" si="91"/>
        <v>4E-05</v>
      </c>
      <c r="L438" s="62" t="s">
        <v>170</v>
      </c>
      <c r="M438" s="39"/>
      <c r="N438" s="39"/>
      <c r="P438" s="11">
        <f t="shared" si="92"/>
        <v>0</v>
      </c>
      <c r="R438" s="11">
        <f t="shared" si="93"/>
        <v>0</v>
      </c>
      <c r="S438" s="11">
        <f t="shared" si="94"/>
        <v>0</v>
      </c>
      <c r="T438" s="11">
        <f t="shared" si="95"/>
        <v>0</v>
      </c>
      <c r="U438" s="11">
        <f t="shared" si="96"/>
        <v>0</v>
      </c>
      <c r="V438" s="11">
        <f t="shared" si="97"/>
        <v>0</v>
      </c>
      <c r="W438" s="11">
        <f t="shared" si="98"/>
        <v>0</v>
      </c>
      <c r="X438" s="11">
        <f t="shared" si="99"/>
        <v>0</v>
      </c>
      <c r="Y438" s="6"/>
      <c r="Z438" s="4">
        <f t="shared" si="100"/>
        <v>0</v>
      </c>
      <c r="AA438" s="4">
        <f t="shared" si="101"/>
        <v>0</v>
      </c>
      <c r="AB438" s="4">
        <f t="shared" si="102"/>
        <v>0</v>
      </c>
      <c r="AD438" s="11">
        <v>21</v>
      </c>
      <c r="AE438" s="11">
        <f t="shared" si="103"/>
        <v>0</v>
      </c>
      <c r="AF438" s="11">
        <f t="shared" si="104"/>
        <v>0</v>
      </c>
      <c r="AG438" s="7" t="s">
        <v>504</v>
      </c>
      <c r="AM438" s="11">
        <f t="shared" si="105"/>
        <v>0</v>
      </c>
      <c r="AN438" s="11">
        <f t="shared" si="106"/>
        <v>0</v>
      </c>
      <c r="AO438" s="12" t="s">
        <v>201</v>
      </c>
      <c r="AP438" s="12" t="s">
        <v>228</v>
      </c>
      <c r="AQ438" s="6" t="s">
        <v>234</v>
      </c>
      <c r="AS438" s="11">
        <f t="shared" si="107"/>
        <v>0</v>
      </c>
      <c r="AT438" s="11">
        <f t="shared" si="108"/>
        <v>0</v>
      </c>
      <c r="AU438" s="11">
        <v>0</v>
      </c>
      <c r="AV438" s="11">
        <f t="shared" si="109"/>
        <v>4E-05</v>
      </c>
    </row>
    <row r="439" spans="1:48" ht="12.75">
      <c r="A439" s="59" t="s">
        <v>727</v>
      </c>
      <c r="B439" s="59" t="s">
        <v>1105</v>
      </c>
      <c r="C439" s="59" t="s">
        <v>1648</v>
      </c>
      <c r="D439" s="59" t="s">
        <v>144</v>
      </c>
      <c r="E439" s="60">
        <v>6</v>
      </c>
      <c r="F439" s="61"/>
      <c r="G439" s="61">
        <f t="shared" si="88"/>
        <v>0</v>
      </c>
      <c r="H439" s="61">
        <f t="shared" si="89"/>
        <v>0</v>
      </c>
      <c r="I439" s="61">
        <f t="shared" si="90"/>
        <v>0</v>
      </c>
      <c r="J439" s="61">
        <v>8E-05</v>
      </c>
      <c r="K439" s="61">
        <f t="shared" si="91"/>
        <v>0.00048000000000000007</v>
      </c>
      <c r="L439" s="62" t="s">
        <v>170</v>
      </c>
      <c r="M439" s="39"/>
      <c r="N439" s="39"/>
      <c r="P439" s="11">
        <f t="shared" si="92"/>
        <v>0</v>
      </c>
      <c r="R439" s="11">
        <f t="shared" si="93"/>
        <v>0</v>
      </c>
      <c r="S439" s="11">
        <f t="shared" si="94"/>
        <v>0</v>
      </c>
      <c r="T439" s="11">
        <f t="shared" si="95"/>
        <v>0</v>
      </c>
      <c r="U439" s="11">
        <f t="shared" si="96"/>
        <v>0</v>
      </c>
      <c r="V439" s="11">
        <f t="shared" si="97"/>
        <v>0</v>
      </c>
      <c r="W439" s="11">
        <f t="shared" si="98"/>
        <v>0</v>
      </c>
      <c r="X439" s="11">
        <f t="shared" si="99"/>
        <v>0</v>
      </c>
      <c r="Y439" s="6"/>
      <c r="Z439" s="4">
        <f t="shared" si="100"/>
        <v>0</v>
      </c>
      <c r="AA439" s="4">
        <f t="shared" si="101"/>
        <v>0</v>
      </c>
      <c r="AB439" s="4">
        <f t="shared" si="102"/>
        <v>0</v>
      </c>
      <c r="AD439" s="11">
        <v>21</v>
      </c>
      <c r="AE439" s="11">
        <f t="shared" si="103"/>
        <v>0</v>
      </c>
      <c r="AF439" s="11">
        <f t="shared" si="104"/>
        <v>0</v>
      </c>
      <c r="AG439" s="7" t="s">
        <v>504</v>
      </c>
      <c r="AM439" s="11">
        <f t="shared" si="105"/>
        <v>0</v>
      </c>
      <c r="AN439" s="11">
        <f t="shared" si="106"/>
        <v>0</v>
      </c>
      <c r="AO439" s="12" t="s">
        <v>201</v>
      </c>
      <c r="AP439" s="12" t="s">
        <v>228</v>
      </c>
      <c r="AQ439" s="6" t="s">
        <v>234</v>
      </c>
      <c r="AS439" s="11">
        <f t="shared" si="107"/>
        <v>0</v>
      </c>
      <c r="AT439" s="11">
        <f t="shared" si="108"/>
        <v>0</v>
      </c>
      <c r="AU439" s="11">
        <v>0</v>
      </c>
      <c r="AV439" s="11">
        <f t="shared" si="109"/>
        <v>0.00048000000000000007</v>
      </c>
    </row>
    <row r="440" spans="1:48" ht="12.75">
      <c r="A440" s="59" t="s">
        <v>728</v>
      </c>
      <c r="B440" s="59" t="s">
        <v>1106</v>
      </c>
      <c r="C440" s="59" t="s">
        <v>1649</v>
      </c>
      <c r="D440" s="59" t="s">
        <v>144</v>
      </c>
      <c r="E440" s="60">
        <v>13</v>
      </c>
      <c r="F440" s="61"/>
      <c r="G440" s="61">
        <f t="shared" si="88"/>
        <v>0</v>
      </c>
      <c r="H440" s="61">
        <f t="shared" si="89"/>
        <v>0</v>
      </c>
      <c r="I440" s="61">
        <f t="shared" si="90"/>
        <v>0</v>
      </c>
      <c r="J440" s="61">
        <v>0.00013</v>
      </c>
      <c r="K440" s="61">
        <f t="shared" si="91"/>
        <v>0.0016899999999999999</v>
      </c>
      <c r="L440" s="62" t="s">
        <v>170</v>
      </c>
      <c r="M440" s="39"/>
      <c r="N440" s="39"/>
      <c r="P440" s="11">
        <f t="shared" si="92"/>
        <v>0</v>
      </c>
      <c r="R440" s="11">
        <f t="shared" si="93"/>
        <v>0</v>
      </c>
      <c r="S440" s="11">
        <f t="shared" si="94"/>
        <v>0</v>
      </c>
      <c r="T440" s="11">
        <f t="shared" si="95"/>
        <v>0</v>
      </c>
      <c r="U440" s="11">
        <f t="shared" si="96"/>
        <v>0</v>
      </c>
      <c r="V440" s="11">
        <f t="shared" si="97"/>
        <v>0</v>
      </c>
      <c r="W440" s="11">
        <f t="shared" si="98"/>
        <v>0</v>
      </c>
      <c r="X440" s="11">
        <f t="shared" si="99"/>
        <v>0</v>
      </c>
      <c r="Y440" s="6"/>
      <c r="Z440" s="4">
        <f t="shared" si="100"/>
        <v>0</v>
      </c>
      <c r="AA440" s="4">
        <f t="shared" si="101"/>
        <v>0</v>
      </c>
      <c r="AB440" s="4">
        <f t="shared" si="102"/>
        <v>0</v>
      </c>
      <c r="AD440" s="11">
        <v>21</v>
      </c>
      <c r="AE440" s="11">
        <f t="shared" si="103"/>
        <v>0</v>
      </c>
      <c r="AF440" s="11">
        <f t="shared" si="104"/>
        <v>0</v>
      </c>
      <c r="AG440" s="7" t="s">
        <v>504</v>
      </c>
      <c r="AM440" s="11">
        <f t="shared" si="105"/>
        <v>0</v>
      </c>
      <c r="AN440" s="11">
        <f t="shared" si="106"/>
        <v>0</v>
      </c>
      <c r="AO440" s="12" t="s">
        <v>201</v>
      </c>
      <c r="AP440" s="12" t="s">
        <v>228</v>
      </c>
      <c r="AQ440" s="6" t="s">
        <v>234</v>
      </c>
      <c r="AS440" s="11">
        <f t="shared" si="107"/>
        <v>0</v>
      </c>
      <c r="AT440" s="11">
        <f t="shared" si="108"/>
        <v>0</v>
      </c>
      <c r="AU440" s="11">
        <v>0</v>
      </c>
      <c r="AV440" s="11">
        <f t="shared" si="109"/>
        <v>0.0016899999999999999</v>
      </c>
    </row>
    <row r="441" spans="1:48" ht="12.75">
      <c r="A441" s="59" t="s">
        <v>729</v>
      </c>
      <c r="B441" s="59" t="s">
        <v>1107</v>
      </c>
      <c r="C441" s="59" t="s">
        <v>1650</v>
      </c>
      <c r="D441" s="59" t="s">
        <v>144</v>
      </c>
      <c r="E441" s="60">
        <v>5</v>
      </c>
      <c r="F441" s="61"/>
      <c r="G441" s="61">
        <f t="shared" si="88"/>
        <v>0</v>
      </c>
      <c r="H441" s="61">
        <f t="shared" si="89"/>
        <v>0</v>
      </c>
      <c r="I441" s="61">
        <f t="shared" si="90"/>
        <v>0</v>
      </c>
      <c r="J441" s="61">
        <v>0.00026</v>
      </c>
      <c r="K441" s="61">
        <f t="shared" si="91"/>
        <v>0.0013</v>
      </c>
      <c r="L441" s="62" t="s">
        <v>170</v>
      </c>
      <c r="M441" s="39"/>
      <c r="N441" s="39"/>
      <c r="P441" s="11">
        <f t="shared" si="92"/>
        <v>0</v>
      </c>
      <c r="R441" s="11">
        <f t="shared" si="93"/>
        <v>0</v>
      </c>
      <c r="S441" s="11">
        <f t="shared" si="94"/>
        <v>0</v>
      </c>
      <c r="T441" s="11">
        <f t="shared" si="95"/>
        <v>0</v>
      </c>
      <c r="U441" s="11">
        <f t="shared" si="96"/>
        <v>0</v>
      </c>
      <c r="V441" s="11">
        <f t="shared" si="97"/>
        <v>0</v>
      </c>
      <c r="W441" s="11">
        <f t="shared" si="98"/>
        <v>0</v>
      </c>
      <c r="X441" s="11">
        <f t="shared" si="99"/>
        <v>0</v>
      </c>
      <c r="Y441" s="6"/>
      <c r="Z441" s="4">
        <f t="shared" si="100"/>
        <v>0</v>
      </c>
      <c r="AA441" s="4">
        <f t="shared" si="101"/>
        <v>0</v>
      </c>
      <c r="AB441" s="4">
        <f t="shared" si="102"/>
        <v>0</v>
      </c>
      <c r="AD441" s="11">
        <v>21</v>
      </c>
      <c r="AE441" s="11">
        <f t="shared" si="103"/>
        <v>0</v>
      </c>
      <c r="AF441" s="11">
        <f t="shared" si="104"/>
        <v>0</v>
      </c>
      <c r="AG441" s="7" t="s">
        <v>504</v>
      </c>
      <c r="AM441" s="11">
        <f t="shared" si="105"/>
        <v>0</v>
      </c>
      <c r="AN441" s="11">
        <f t="shared" si="106"/>
        <v>0</v>
      </c>
      <c r="AO441" s="12" t="s">
        <v>201</v>
      </c>
      <c r="AP441" s="12" t="s">
        <v>228</v>
      </c>
      <c r="AQ441" s="6" t="s">
        <v>234</v>
      </c>
      <c r="AS441" s="11">
        <f t="shared" si="107"/>
        <v>0</v>
      </c>
      <c r="AT441" s="11">
        <f t="shared" si="108"/>
        <v>0</v>
      </c>
      <c r="AU441" s="11">
        <v>0</v>
      </c>
      <c r="AV441" s="11">
        <f t="shared" si="109"/>
        <v>0.0013</v>
      </c>
    </row>
    <row r="442" spans="1:48" ht="12.75">
      <c r="A442" s="59" t="s">
        <v>730</v>
      </c>
      <c r="B442" s="59" t="s">
        <v>1108</v>
      </c>
      <c r="C442" s="59" t="s">
        <v>1651</v>
      </c>
      <c r="D442" s="59" t="s">
        <v>144</v>
      </c>
      <c r="E442" s="60">
        <v>13</v>
      </c>
      <c r="F442" s="61"/>
      <c r="G442" s="61">
        <f t="shared" si="88"/>
        <v>0</v>
      </c>
      <c r="H442" s="61">
        <f t="shared" si="89"/>
        <v>0</v>
      </c>
      <c r="I442" s="61">
        <f t="shared" si="90"/>
        <v>0</v>
      </c>
      <c r="J442" s="61">
        <v>0.0002</v>
      </c>
      <c r="K442" s="61">
        <f t="shared" si="91"/>
        <v>0.0026000000000000003</v>
      </c>
      <c r="L442" s="62" t="s">
        <v>170</v>
      </c>
      <c r="M442" s="39"/>
      <c r="N442" s="39"/>
      <c r="P442" s="11">
        <f t="shared" si="92"/>
        <v>0</v>
      </c>
      <c r="R442" s="11">
        <f t="shared" si="93"/>
        <v>0</v>
      </c>
      <c r="S442" s="11">
        <f t="shared" si="94"/>
        <v>0</v>
      </c>
      <c r="T442" s="11">
        <f t="shared" si="95"/>
        <v>0</v>
      </c>
      <c r="U442" s="11">
        <f t="shared" si="96"/>
        <v>0</v>
      </c>
      <c r="V442" s="11">
        <f t="shared" si="97"/>
        <v>0</v>
      </c>
      <c r="W442" s="11">
        <f t="shared" si="98"/>
        <v>0</v>
      </c>
      <c r="X442" s="11">
        <f t="shared" si="99"/>
        <v>0</v>
      </c>
      <c r="Y442" s="6"/>
      <c r="Z442" s="4">
        <f t="shared" si="100"/>
        <v>0</v>
      </c>
      <c r="AA442" s="4">
        <f t="shared" si="101"/>
        <v>0</v>
      </c>
      <c r="AB442" s="4">
        <f t="shared" si="102"/>
        <v>0</v>
      </c>
      <c r="AD442" s="11">
        <v>21</v>
      </c>
      <c r="AE442" s="11">
        <f t="shared" si="103"/>
        <v>0</v>
      </c>
      <c r="AF442" s="11">
        <f t="shared" si="104"/>
        <v>0</v>
      </c>
      <c r="AG442" s="7" t="s">
        <v>504</v>
      </c>
      <c r="AM442" s="11">
        <f t="shared" si="105"/>
        <v>0</v>
      </c>
      <c r="AN442" s="11">
        <f t="shared" si="106"/>
        <v>0</v>
      </c>
      <c r="AO442" s="12" t="s">
        <v>201</v>
      </c>
      <c r="AP442" s="12" t="s">
        <v>228</v>
      </c>
      <c r="AQ442" s="6" t="s">
        <v>234</v>
      </c>
      <c r="AS442" s="11">
        <f t="shared" si="107"/>
        <v>0</v>
      </c>
      <c r="AT442" s="11">
        <f t="shared" si="108"/>
        <v>0</v>
      </c>
      <c r="AU442" s="11">
        <v>0</v>
      </c>
      <c r="AV442" s="11">
        <f t="shared" si="109"/>
        <v>0.0026000000000000003</v>
      </c>
    </row>
    <row r="443" spans="1:48" ht="12.75">
      <c r="A443" s="59" t="s">
        <v>731</v>
      </c>
      <c r="B443" s="59" t="s">
        <v>1109</v>
      </c>
      <c r="C443" s="59" t="s">
        <v>1652</v>
      </c>
      <c r="D443" s="59" t="s">
        <v>144</v>
      </c>
      <c r="E443" s="60">
        <v>4</v>
      </c>
      <c r="F443" s="61"/>
      <c r="G443" s="61">
        <f t="shared" si="88"/>
        <v>0</v>
      </c>
      <c r="H443" s="61">
        <f t="shared" si="89"/>
        <v>0</v>
      </c>
      <c r="I443" s="61">
        <f t="shared" si="90"/>
        <v>0</v>
      </c>
      <c r="J443" s="61">
        <v>0.00048</v>
      </c>
      <c r="K443" s="61">
        <f t="shared" si="91"/>
        <v>0.00192</v>
      </c>
      <c r="L443" s="62" t="s">
        <v>170</v>
      </c>
      <c r="M443" s="39"/>
      <c r="N443" s="39"/>
      <c r="P443" s="11">
        <f t="shared" si="92"/>
        <v>0</v>
      </c>
      <c r="R443" s="11">
        <f t="shared" si="93"/>
        <v>0</v>
      </c>
      <c r="S443" s="11">
        <f t="shared" si="94"/>
        <v>0</v>
      </c>
      <c r="T443" s="11">
        <f t="shared" si="95"/>
        <v>0</v>
      </c>
      <c r="U443" s="11">
        <f t="shared" si="96"/>
        <v>0</v>
      </c>
      <c r="V443" s="11">
        <f t="shared" si="97"/>
        <v>0</v>
      </c>
      <c r="W443" s="11">
        <f t="shared" si="98"/>
        <v>0</v>
      </c>
      <c r="X443" s="11">
        <f t="shared" si="99"/>
        <v>0</v>
      </c>
      <c r="Y443" s="6"/>
      <c r="Z443" s="4">
        <f t="shared" si="100"/>
        <v>0</v>
      </c>
      <c r="AA443" s="4">
        <f t="shared" si="101"/>
        <v>0</v>
      </c>
      <c r="AB443" s="4">
        <f t="shared" si="102"/>
        <v>0</v>
      </c>
      <c r="AD443" s="11">
        <v>21</v>
      </c>
      <c r="AE443" s="11">
        <f t="shared" si="103"/>
        <v>0</v>
      </c>
      <c r="AF443" s="11">
        <f t="shared" si="104"/>
        <v>0</v>
      </c>
      <c r="AG443" s="7" t="s">
        <v>504</v>
      </c>
      <c r="AM443" s="11">
        <f t="shared" si="105"/>
        <v>0</v>
      </c>
      <c r="AN443" s="11">
        <f t="shared" si="106"/>
        <v>0</v>
      </c>
      <c r="AO443" s="12" t="s">
        <v>201</v>
      </c>
      <c r="AP443" s="12" t="s">
        <v>228</v>
      </c>
      <c r="AQ443" s="6" t="s">
        <v>234</v>
      </c>
      <c r="AS443" s="11">
        <f t="shared" si="107"/>
        <v>0</v>
      </c>
      <c r="AT443" s="11">
        <f t="shared" si="108"/>
        <v>0</v>
      </c>
      <c r="AU443" s="11">
        <v>0</v>
      </c>
      <c r="AV443" s="11">
        <f t="shared" si="109"/>
        <v>0.00192</v>
      </c>
    </row>
    <row r="444" spans="1:48" ht="12.75">
      <c r="A444" s="59" t="s">
        <v>732</v>
      </c>
      <c r="B444" s="59" t="s">
        <v>1110</v>
      </c>
      <c r="C444" s="59" t="s">
        <v>1653</v>
      </c>
      <c r="D444" s="59" t="s">
        <v>144</v>
      </c>
      <c r="E444" s="60">
        <v>2</v>
      </c>
      <c r="F444" s="61"/>
      <c r="G444" s="61">
        <f t="shared" si="88"/>
        <v>0</v>
      </c>
      <c r="H444" s="61">
        <f t="shared" si="89"/>
        <v>0</v>
      </c>
      <c r="I444" s="61">
        <f t="shared" si="90"/>
        <v>0</v>
      </c>
      <c r="J444" s="61">
        <v>0.00031</v>
      </c>
      <c r="K444" s="61">
        <f t="shared" si="91"/>
        <v>0.00062</v>
      </c>
      <c r="L444" s="62" t="s">
        <v>170</v>
      </c>
      <c r="M444" s="39"/>
      <c r="N444" s="39"/>
      <c r="P444" s="11">
        <f t="shared" si="92"/>
        <v>0</v>
      </c>
      <c r="R444" s="11">
        <f t="shared" si="93"/>
        <v>0</v>
      </c>
      <c r="S444" s="11">
        <f t="shared" si="94"/>
        <v>0</v>
      </c>
      <c r="T444" s="11">
        <f t="shared" si="95"/>
        <v>0</v>
      </c>
      <c r="U444" s="11">
        <f t="shared" si="96"/>
        <v>0</v>
      </c>
      <c r="V444" s="11">
        <f t="shared" si="97"/>
        <v>0</v>
      </c>
      <c r="W444" s="11">
        <f t="shared" si="98"/>
        <v>0</v>
      </c>
      <c r="X444" s="11">
        <f t="shared" si="99"/>
        <v>0</v>
      </c>
      <c r="Y444" s="6"/>
      <c r="Z444" s="4">
        <f t="shared" si="100"/>
        <v>0</v>
      </c>
      <c r="AA444" s="4">
        <f t="shared" si="101"/>
        <v>0</v>
      </c>
      <c r="AB444" s="4">
        <f t="shared" si="102"/>
        <v>0</v>
      </c>
      <c r="AD444" s="11">
        <v>21</v>
      </c>
      <c r="AE444" s="11">
        <f t="shared" si="103"/>
        <v>0</v>
      </c>
      <c r="AF444" s="11">
        <f t="shared" si="104"/>
        <v>0</v>
      </c>
      <c r="AG444" s="7" t="s">
        <v>504</v>
      </c>
      <c r="AM444" s="11">
        <f t="shared" si="105"/>
        <v>0</v>
      </c>
      <c r="AN444" s="11">
        <f t="shared" si="106"/>
        <v>0</v>
      </c>
      <c r="AO444" s="12" t="s">
        <v>201</v>
      </c>
      <c r="AP444" s="12" t="s">
        <v>228</v>
      </c>
      <c r="AQ444" s="6" t="s">
        <v>234</v>
      </c>
      <c r="AS444" s="11">
        <f t="shared" si="107"/>
        <v>0</v>
      </c>
      <c r="AT444" s="11">
        <f t="shared" si="108"/>
        <v>0</v>
      </c>
      <c r="AU444" s="11">
        <v>0</v>
      </c>
      <c r="AV444" s="11">
        <f t="shared" si="109"/>
        <v>0.00062</v>
      </c>
    </row>
    <row r="445" spans="1:48" ht="12.75">
      <c r="A445" s="59" t="s">
        <v>733</v>
      </c>
      <c r="B445" s="59" t="s">
        <v>1111</v>
      </c>
      <c r="C445" s="59" t="s">
        <v>1654</v>
      </c>
      <c r="D445" s="59" t="s">
        <v>144</v>
      </c>
      <c r="E445" s="60">
        <v>13</v>
      </c>
      <c r="F445" s="61"/>
      <c r="G445" s="61">
        <f t="shared" si="88"/>
        <v>0</v>
      </c>
      <c r="H445" s="61">
        <f t="shared" si="89"/>
        <v>0</v>
      </c>
      <c r="I445" s="61">
        <f t="shared" si="90"/>
        <v>0</v>
      </c>
      <c r="J445" s="61">
        <v>0</v>
      </c>
      <c r="K445" s="61">
        <f t="shared" si="91"/>
        <v>0</v>
      </c>
      <c r="L445" s="62" t="s">
        <v>170</v>
      </c>
      <c r="M445" s="39"/>
      <c r="N445" s="39"/>
      <c r="P445" s="11">
        <f t="shared" si="92"/>
        <v>0</v>
      </c>
      <c r="R445" s="11">
        <f t="shared" si="93"/>
        <v>0</v>
      </c>
      <c r="S445" s="11">
        <f t="shared" si="94"/>
        <v>0</v>
      </c>
      <c r="T445" s="11">
        <f t="shared" si="95"/>
        <v>0</v>
      </c>
      <c r="U445" s="11">
        <f t="shared" si="96"/>
        <v>0</v>
      </c>
      <c r="V445" s="11">
        <f t="shared" si="97"/>
        <v>0</v>
      </c>
      <c r="W445" s="11">
        <f t="shared" si="98"/>
        <v>0</v>
      </c>
      <c r="X445" s="11">
        <f t="shared" si="99"/>
        <v>0</v>
      </c>
      <c r="Y445" s="6"/>
      <c r="Z445" s="4">
        <f t="shared" si="100"/>
        <v>0</v>
      </c>
      <c r="AA445" s="4">
        <f t="shared" si="101"/>
        <v>0</v>
      </c>
      <c r="AB445" s="4">
        <f t="shared" si="102"/>
        <v>0</v>
      </c>
      <c r="AD445" s="11">
        <v>21</v>
      </c>
      <c r="AE445" s="11">
        <f t="shared" si="103"/>
        <v>0</v>
      </c>
      <c r="AF445" s="11">
        <f t="shared" si="104"/>
        <v>0</v>
      </c>
      <c r="AG445" s="7" t="s">
        <v>504</v>
      </c>
      <c r="AM445" s="11">
        <f t="shared" si="105"/>
        <v>0</v>
      </c>
      <c r="AN445" s="11">
        <f t="shared" si="106"/>
        <v>0</v>
      </c>
      <c r="AO445" s="12" t="s">
        <v>201</v>
      </c>
      <c r="AP445" s="12" t="s">
        <v>228</v>
      </c>
      <c r="AQ445" s="6" t="s">
        <v>234</v>
      </c>
      <c r="AS445" s="11">
        <f t="shared" si="107"/>
        <v>0</v>
      </c>
      <c r="AT445" s="11">
        <f t="shared" si="108"/>
        <v>0</v>
      </c>
      <c r="AU445" s="11">
        <v>0</v>
      </c>
      <c r="AV445" s="11">
        <f t="shared" si="109"/>
        <v>0</v>
      </c>
    </row>
    <row r="446" spans="1:48" ht="12.75">
      <c r="A446" s="59" t="s">
        <v>734</v>
      </c>
      <c r="B446" s="59" t="s">
        <v>1112</v>
      </c>
      <c r="C446" s="59" t="s">
        <v>1655</v>
      </c>
      <c r="D446" s="59" t="s">
        <v>144</v>
      </c>
      <c r="E446" s="60">
        <v>1</v>
      </c>
      <c r="F446" s="61"/>
      <c r="G446" s="61">
        <f t="shared" si="88"/>
        <v>0</v>
      </c>
      <c r="H446" s="61">
        <f t="shared" si="89"/>
        <v>0</v>
      </c>
      <c r="I446" s="61">
        <f t="shared" si="90"/>
        <v>0</v>
      </c>
      <c r="J446" s="61">
        <v>0</v>
      </c>
      <c r="K446" s="61">
        <f t="shared" si="91"/>
        <v>0</v>
      </c>
      <c r="L446" s="62" t="s">
        <v>170</v>
      </c>
      <c r="M446" s="39"/>
      <c r="N446" s="39"/>
      <c r="P446" s="11">
        <f t="shared" si="92"/>
        <v>0</v>
      </c>
      <c r="R446" s="11">
        <f t="shared" si="93"/>
        <v>0</v>
      </c>
      <c r="S446" s="11">
        <f t="shared" si="94"/>
        <v>0</v>
      </c>
      <c r="T446" s="11">
        <f t="shared" si="95"/>
        <v>0</v>
      </c>
      <c r="U446" s="11">
        <f t="shared" si="96"/>
        <v>0</v>
      </c>
      <c r="V446" s="11">
        <f t="shared" si="97"/>
        <v>0</v>
      </c>
      <c r="W446" s="11">
        <f t="shared" si="98"/>
        <v>0</v>
      </c>
      <c r="X446" s="11">
        <f t="shared" si="99"/>
        <v>0</v>
      </c>
      <c r="Y446" s="6"/>
      <c r="Z446" s="4">
        <f t="shared" si="100"/>
        <v>0</v>
      </c>
      <c r="AA446" s="4">
        <f t="shared" si="101"/>
        <v>0</v>
      </c>
      <c r="AB446" s="4">
        <f t="shared" si="102"/>
        <v>0</v>
      </c>
      <c r="AD446" s="11">
        <v>21</v>
      </c>
      <c r="AE446" s="11">
        <f t="shared" si="103"/>
        <v>0</v>
      </c>
      <c r="AF446" s="11">
        <f t="shared" si="104"/>
        <v>0</v>
      </c>
      <c r="AG446" s="7" t="s">
        <v>504</v>
      </c>
      <c r="AM446" s="11">
        <f t="shared" si="105"/>
        <v>0</v>
      </c>
      <c r="AN446" s="11">
        <f t="shared" si="106"/>
        <v>0</v>
      </c>
      <c r="AO446" s="12" t="s">
        <v>201</v>
      </c>
      <c r="AP446" s="12" t="s">
        <v>228</v>
      </c>
      <c r="AQ446" s="6" t="s">
        <v>234</v>
      </c>
      <c r="AS446" s="11">
        <f t="shared" si="107"/>
        <v>0</v>
      </c>
      <c r="AT446" s="11">
        <f t="shared" si="108"/>
        <v>0</v>
      </c>
      <c r="AU446" s="11">
        <v>0</v>
      </c>
      <c r="AV446" s="11">
        <f t="shared" si="109"/>
        <v>0</v>
      </c>
    </row>
    <row r="447" spans="1:48" ht="12.75">
      <c r="A447" s="59" t="s">
        <v>735</v>
      </c>
      <c r="B447" s="59" t="s">
        <v>1113</v>
      </c>
      <c r="C447" s="59" t="s">
        <v>1656</v>
      </c>
      <c r="D447" s="59" t="s">
        <v>144</v>
      </c>
      <c r="E447" s="60">
        <v>1</v>
      </c>
      <c r="F447" s="61"/>
      <c r="G447" s="61">
        <f t="shared" si="88"/>
        <v>0</v>
      </c>
      <c r="H447" s="61">
        <f t="shared" si="89"/>
        <v>0</v>
      </c>
      <c r="I447" s="61">
        <f t="shared" si="90"/>
        <v>0</v>
      </c>
      <c r="J447" s="61">
        <v>0</v>
      </c>
      <c r="K447" s="61">
        <f t="shared" si="91"/>
        <v>0</v>
      </c>
      <c r="L447" s="62" t="s">
        <v>170</v>
      </c>
      <c r="M447" s="39"/>
      <c r="N447" s="39"/>
      <c r="P447" s="11">
        <f t="shared" si="92"/>
        <v>0</v>
      </c>
      <c r="R447" s="11">
        <f t="shared" si="93"/>
        <v>0</v>
      </c>
      <c r="S447" s="11">
        <f t="shared" si="94"/>
        <v>0</v>
      </c>
      <c r="T447" s="11">
        <f t="shared" si="95"/>
        <v>0</v>
      </c>
      <c r="U447" s="11">
        <f t="shared" si="96"/>
        <v>0</v>
      </c>
      <c r="V447" s="11">
        <f t="shared" si="97"/>
        <v>0</v>
      </c>
      <c r="W447" s="11">
        <f t="shared" si="98"/>
        <v>0</v>
      </c>
      <c r="X447" s="11">
        <f t="shared" si="99"/>
        <v>0</v>
      </c>
      <c r="Y447" s="6"/>
      <c r="Z447" s="4">
        <f t="shared" si="100"/>
        <v>0</v>
      </c>
      <c r="AA447" s="4">
        <f t="shared" si="101"/>
        <v>0</v>
      </c>
      <c r="AB447" s="4">
        <f t="shared" si="102"/>
        <v>0</v>
      </c>
      <c r="AD447" s="11">
        <v>21</v>
      </c>
      <c r="AE447" s="11">
        <f t="shared" si="103"/>
        <v>0</v>
      </c>
      <c r="AF447" s="11">
        <f t="shared" si="104"/>
        <v>0</v>
      </c>
      <c r="AG447" s="7" t="s">
        <v>504</v>
      </c>
      <c r="AM447" s="11">
        <f t="shared" si="105"/>
        <v>0</v>
      </c>
      <c r="AN447" s="11">
        <f t="shared" si="106"/>
        <v>0</v>
      </c>
      <c r="AO447" s="12" t="s">
        <v>201</v>
      </c>
      <c r="AP447" s="12" t="s">
        <v>228</v>
      </c>
      <c r="AQ447" s="6" t="s">
        <v>234</v>
      </c>
      <c r="AS447" s="11">
        <f t="shared" si="107"/>
        <v>0</v>
      </c>
      <c r="AT447" s="11">
        <f t="shared" si="108"/>
        <v>0</v>
      </c>
      <c r="AU447" s="11">
        <v>0</v>
      </c>
      <c r="AV447" s="11">
        <f t="shared" si="109"/>
        <v>0</v>
      </c>
    </row>
    <row r="448" spans="1:48" ht="12.75">
      <c r="A448" s="59" t="s">
        <v>736</v>
      </c>
      <c r="B448" s="59" t="s">
        <v>1114</v>
      </c>
      <c r="C448" s="59" t="s">
        <v>1657</v>
      </c>
      <c r="D448" s="59" t="s">
        <v>144</v>
      </c>
      <c r="E448" s="60">
        <v>1</v>
      </c>
      <c r="F448" s="61"/>
      <c r="G448" s="61">
        <f t="shared" si="88"/>
        <v>0</v>
      </c>
      <c r="H448" s="61">
        <f t="shared" si="89"/>
        <v>0</v>
      </c>
      <c r="I448" s="61">
        <f t="shared" si="90"/>
        <v>0</v>
      </c>
      <c r="J448" s="61">
        <v>0.00054</v>
      </c>
      <c r="K448" s="61">
        <f t="shared" si="91"/>
        <v>0.00054</v>
      </c>
      <c r="L448" s="62" t="s">
        <v>170</v>
      </c>
      <c r="M448" s="39"/>
      <c r="N448" s="39"/>
      <c r="P448" s="11">
        <f t="shared" si="92"/>
        <v>0</v>
      </c>
      <c r="R448" s="11">
        <f t="shared" si="93"/>
        <v>0</v>
      </c>
      <c r="S448" s="11">
        <f t="shared" si="94"/>
        <v>0</v>
      </c>
      <c r="T448" s="11">
        <f t="shared" si="95"/>
        <v>0</v>
      </c>
      <c r="U448" s="11">
        <f t="shared" si="96"/>
        <v>0</v>
      </c>
      <c r="V448" s="11">
        <f t="shared" si="97"/>
        <v>0</v>
      </c>
      <c r="W448" s="11">
        <f t="shared" si="98"/>
        <v>0</v>
      </c>
      <c r="X448" s="11">
        <f t="shared" si="99"/>
        <v>0</v>
      </c>
      <c r="Y448" s="6"/>
      <c r="Z448" s="4">
        <f t="shared" si="100"/>
        <v>0</v>
      </c>
      <c r="AA448" s="4">
        <f t="shared" si="101"/>
        <v>0</v>
      </c>
      <c r="AB448" s="4">
        <f t="shared" si="102"/>
        <v>0</v>
      </c>
      <c r="AD448" s="11">
        <v>21</v>
      </c>
      <c r="AE448" s="11">
        <f t="shared" si="103"/>
        <v>0</v>
      </c>
      <c r="AF448" s="11">
        <f t="shared" si="104"/>
        <v>0</v>
      </c>
      <c r="AG448" s="7" t="s">
        <v>504</v>
      </c>
      <c r="AM448" s="11">
        <f t="shared" si="105"/>
        <v>0</v>
      </c>
      <c r="AN448" s="11">
        <f t="shared" si="106"/>
        <v>0</v>
      </c>
      <c r="AO448" s="12" t="s">
        <v>201</v>
      </c>
      <c r="AP448" s="12" t="s">
        <v>228</v>
      </c>
      <c r="AQ448" s="6" t="s">
        <v>234</v>
      </c>
      <c r="AS448" s="11">
        <f t="shared" si="107"/>
        <v>0</v>
      </c>
      <c r="AT448" s="11">
        <f t="shared" si="108"/>
        <v>0</v>
      </c>
      <c r="AU448" s="11">
        <v>0</v>
      </c>
      <c r="AV448" s="11">
        <f t="shared" si="109"/>
        <v>0.00054</v>
      </c>
    </row>
    <row r="449" spans="1:48" ht="12.75">
      <c r="A449" s="59" t="s">
        <v>737</v>
      </c>
      <c r="B449" s="59" t="s">
        <v>1115</v>
      </c>
      <c r="C449" s="59" t="s">
        <v>1658</v>
      </c>
      <c r="D449" s="59" t="s">
        <v>143</v>
      </c>
      <c r="E449" s="60">
        <v>0.038</v>
      </c>
      <c r="F449" s="61"/>
      <c r="G449" s="61">
        <f t="shared" si="88"/>
        <v>0</v>
      </c>
      <c r="H449" s="61">
        <f t="shared" si="89"/>
        <v>0</v>
      </c>
      <c r="I449" s="61">
        <f t="shared" si="90"/>
        <v>0</v>
      </c>
      <c r="J449" s="61">
        <v>0</v>
      </c>
      <c r="K449" s="61">
        <f t="shared" si="91"/>
        <v>0</v>
      </c>
      <c r="L449" s="62" t="s">
        <v>170</v>
      </c>
      <c r="M449" s="39"/>
      <c r="N449" s="39"/>
      <c r="P449" s="11">
        <f t="shared" si="92"/>
        <v>0</v>
      </c>
      <c r="R449" s="11">
        <f t="shared" si="93"/>
        <v>0</v>
      </c>
      <c r="S449" s="11">
        <f t="shared" si="94"/>
        <v>0</v>
      </c>
      <c r="T449" s="11">
        <f t="shared" si="95"/>
        <v>0</v>
      </c>
      <c r="U449" s="11">
        <f t="shared" si="96"/>
        <v>0</v>
      </c>
      <c r="V449" s="11">
        <f t="shared" si="97"/>
        <v>0</v>
      </c>
      <c r="W449" s="11">
        <f t="shared" si="98"/>
        <v>0</v>
      </c>
      <c r="X449" s="11">
        <f t="shared" si="99"/>
        <v>0</v>
      </c>
      <c r="Y449" s="6"/>
      <c r="Z449" s="4">
        <f t="shared" si="100"/>
        <v>0</v>
      </c>
      <c r="AA449" s="4">
        <f t="shared" si="101"/>
        <v>0</v>
      </c>
      <c r="AB449" s="4">
        <f t="shared" si="102"/>
        <v>0</v>
      </c>
      <c r="AD449" s="11">
        <v>21</v>
      </c>
      <c r="AE449" s="11">
        <f t="shared" si="103"/>
        <v>0</v>
      </c>
      <c r="AF449" s="11">
        <f t="shared" si="104"/>
        <v>0</v>
      </c>
      <c r="AG449" s="7" t="s">
        <v>504</v>
      </c>
      <c r="AM449" s="11">
        <f t="shared" si="105"/>
        <v>0</v>
      </c>
      <c r="AN449" s="11">
        <f t="shared" si="106"/>
        <v>0</v>
      </c>
      <c r="AO449" s="12" t="s">
        <v>201</v>
      </c>
      <c r="AP449" s="12" t="s">
        <v>228</v>
      </c>
      <c r="AQ449" s="6" t="s">
        <v>234</v>
      </c>
      <c r="AS449" s="11">
        <f t="shared" si="107"/>
        <v>0</v>
      </c>
      <c r="AT449" s="11">
        <f t="shared" si="108"/>
        <v>0</v>
      </c>
      <c r="AU449" s="11">
        <v>0</v>
      </c>
      <c r="AV449" s="11">
        <f t="shared" si="109"/>
        <v>0</v>
      </c>
    </row>
    <row r="450" spans="1:37" ht="12.75">
      <c r="A450" s="66"/>
      <c r="B450" s="67" t="s">
        <v>1116</v>
      </c>
      <c r="C450" s="305" t="s">
        <v>1659</v>
      </c>
      <c r="D450" s="306"/>
      <c r="E450" s="306"/>
      <c r="F450" s="306"/>
      <c r="G450" s="68">
        <f>SUM(G451:G462)</f>
        <v>0</v>
      </c>
      <c r="H450" s="68">
        <f>SUM(H451:H462)</f>
        <v>0</v>
      </c>
      <c r="I450" s="68">
        <f>G450+H450</f>
        <v>0</v>
      </c>
      <c r="J450" s="69"/>
      <c r="K450" s="68">
        <f>SUM(K451:K462)</f>
        <v>3.47657377</v>
      </c>
      <c r="L450" s="69"/>
      <c r="M450" s="39"/>
      <c r="N450" s="39"/>
      <c r="Y450" s="6"/>
      <c r="AI450" s="13">
        <f>SUM(Z451:Z462)</f>
        <v>0</v>
      </c>
      <c r="AJ450" s="13">
        <f>SUM(AA451:AA462)</f>
        <v>0</v>
      </c>
      <c r="AK450" s="13">
        <f>SUM(AB451:AB462)</f>
        <v>0</v>
      </c>
    </row>
    <row r="451" spans="1:48" ht="12.75">
      <c r="A451" s="59" t="s">
        <v>738</v>
      </c>
      <c r="B451" s="59" t="s">
        <v>1117</v>
      </c>
      <c r="C451" s="59" t="s">
        <v>1660</v>
      </c>
      <c r="D451" s="59" t="s">
        <v>144</v>
      </c>
      <c r="E451" s="60">
        <v>0</v>
      </c>
      <c r="F451" s="61"/>
      <c r="G451" s="61">
        <f aca="true" t="shared" si="110" ref="G451:G462">E451*AE451</f>
        <v>0</v>
      </c>
      <c r="H451" s="61">
        <f aca="true" t="shared" si="111" ref="H451:H462">I451-G451</f>
        <v>0</v>
      </c>
      <c r="I451" s="61">
        <f aca="true" t="shared" si="112" ref="I451:I462">E451*F451</f>
        <v>0</v>
      </c>
      <c r="J451" s="61">
        <v>0</v>
      </c>
      <c r="K451" s="61">
        <f aca="true" t="shared" si="113" ref="K451:K462">E451*J451</f>
        <v>0</v>
      </c>
      <c r="L451" s="62" t="s">
        <v>170</v>
      </c>
      <c r="M451" s="39"/>
      <c r="N451" s="39"/>
      <c r="P451" s="11">
        <f aca="true" t="shared" si="114" ref="P451:P462">IF(AG451="5",I451,0)</f>
        <v>0</v>
      </c>
      <c r="R451" s="11">
        <f aca="true" t="shared" si="115" ref="R451:R462">IF(AG451="1",G451,0)</f>
        <v>0</v>
      </c>
      <c r="S451" s="11">
        <f aca="true" t="shared" si="116" ref="S451:S462">IF(AG451="1",H451,0)</f>
        <v>0</v>
      </c>
      <c r="T451" s="11">
        <f aca="true" t="shared" si="117" ref="T451:T462">IF(AG451="7",G451,0)</f>
        <v>0</v>
      </c>
      <c r="U451" s="11">
        <f aca="true" t="shared" si="118" ref="U451:U462">IF(AG451="7",H451,0)</f>
        <v>0</v>
      </c>
      <c r="V451" s="11">
        <f aca="true" t="shared" si="119" ref="V451:V462">IF(AG451="2",G451,0)</f>
        <v>0</v>
      </c>
      <c r="W451" s="11">
        <f aca="true" t="shared" si="120" ref="W451:W462">IF(AG451="2",H451,0)</f>
        <v>0</v>
      </c>
      <c r="X451" s="11">
        <f aca="true" t="shared" si="121" ref="X451:X462">IF(AG451="0",I451,0)</f>
        <v>0</v>
      </c>
      <c r="Y451" s="6"/>
      <c r="Z451" s="4">
        <f aca="true" t="shared" si="122" ref="Z451:Z462">IF(AD451=0,I451,0)</f>
        <v>0</v>
      </c>
      <c r="AA451" s="4">
        <f aca="true" t="shared" si="123" ref="AA451:AA462">IF(AD451=15,I451,0)</f>
        <v>0</v>
      </c>
      <c r="AB451" s="4">
        <f aca="true" t="shared" si="124" ref="AB451:AB462">IF(AD451=21,I451,0)</f>
        <v>0</v>
      </c>
      <c r="AD451" s="11">
        <v>21</v>
      </c>
      <c r="AE451" s="11">
        <f aca="true" t="shared" si="125" ref="AE451:AE462">F451*0</f>
        <v>0</v>
      </c>
      <c r="AF451" s="11">
        <f aca="true" t="shared" si="126" ref="AF451:AF462">F451*(1-0)</f>
        <v>0</v>
      </c>
      <c r="AG451" s="7" t="s">
        <v>504</v>
      </c>
      <c r="AM451" s="11">
        <f aca="true" t="shared" si="127" ref="AM451:AM462">E451*AE451</f>
        <v>0</v>
      </c>
      <c r="AN451" s="11">
        <f aca="true" t="shared" si="128" ref="AN451:AN462">E451*AF451</f>
        <v>0</v>
      </c>
      <c r="AO451" s="12" t="s">
        <v>202</v>
      </c>
      <c r="AP451" s="12" t="s">
        <v>228</v>
      </c>
      <c r="AQ451" s="6" t="s">
        <v>234</v>
      </c>
      <c r="AS451" s="11">
        <f aca="true" t="shared" si="129" ref="AS451:AS462">AM451+AN451</f>
        <v>0</v>
      </c>
      <c r="AT451" s="11">
        <f aca="true" t="shared" si="130" ref="AT451:AT462">F451/(100-AU451)*100</f>
        <v>0</v>
      </c>
      <c r="AU451" s="11">
        <v>0</v>
      </c>
      <c r="AV451" s="11">
        <f aca="true" t="shared" si="131" ref="AV451:AV462">K451</f>
        <v>0</v>
      </c>
    </row>
    <row r="452" spans="1:48" ht="12.75">
      <c r="A452" s="59" t="s">
        <v>739</v>
      </c>
      <c r="B452" s="59" t="s">
        <v>1118</v>
      </c>
      <c r="C452" s="59" t="s">
        <v>1661</v>
      </c>
      <c r="D452" s="59" t="s">
        <v>142</v>
      </c>
      <c r="E452" s="60">
        <v>5.865</v>
      </c>
      <c r="F452" s="61"/>
      <c r="G452" s="61">
        <f t="shared" si="110"/>
        <v>0</v>
      </c>
      <c r="H452" s="61">
        <f t="shared" si="111"/>
        <v>0</v>
      </c>
      <c r="I452" s="61">
        <f t="shared" si="112"/>
        <v>0</v>
      </c>
      <c r="J452" s="61">
        <v>0.02963</v>
      </c>
      <c r="K452" s="61">
        <f t="shared" si="113"/>
        <v>0.17377995000000002</v>
      </c>
      <c r="L452" s="62" t="s">
        <v>170</v>
      </c>
      <c r="M452" s="39"/>
      <c r="N452" s="39"/>
      <c r="P452" s="11">
        <f t="shared" si="114"/>
        <v>0</v>
      </c>
      <c r="R452" s="11">
        <f t="shared" si="115"/>
        <v>0</v>
      </c>
      <c r="S452" s="11">
        <f t="shared" si="116"/>
        <v>0</v>
      </c>
      <c r="T452" s="11">
        <f t="shared" si="117"/>
        <v>0</v>
      </c>
      <c r="U452" s="11">
        <f t="shared" si="118"/>
        <v>0</v>
      </c>
      <c r="V452" s="11">
        <f t="shared" si="119"/>
        <v>0</v>
      </c>
      <c r="W452" s="11">
        <f t="shared" si="120"/>
        <v>0</v>
      </c>
      <c r="X452" s="11">
        <f t="shared" si="121"/>
        <v>0</v>
      </c>
      <c r="Y452" s="6"/>
      <c r="Z452" s="4">
        <f t="shared" si="122"/>
        <v>0</v>
      </c>
      <c r="AA452" s="4">
        <f t="shared" si="123"/>
        <v>0</v>
      </c>
      <c r="AB452" s="4">
        <f t="shared" si="124"/>
        <v>0</v>
      </c>
      <c r="AD452" s="11">
        <v>21</v>
      </c>
      <c r="AE452" s="11">
        <f t="shared" si="125"/>
        <v>0</v>
      </c>
      <c r="AF452" s="11">
        <f t="shared" si="126"/>
        <v>0</v>
      </c>
      <c r="AG452" s="7" t="s">
        <v>504</v>
      </c>
      <c r="AM452" s="11">
        <f t="shared" si="127"/>
        <v>0</v>
      </c>
      <c r="AN452" s="11">
        <f t="shared" si="128"/>
        <v>0</v>
      </c>
      <c r="AO452" s="12" t="s">
        <v>202</v>
      </c>
      <c r="AP452" s="12" t="s">
        <v>228</v>
      </c>
      <c r="AQ452" s="6" t="s">
        <v>234</v>
      </c>
      <c r="AS452" s="11">
        <f t="shared" si="129"/>
        <v>0</v>
      </c>
      <c r="AT452" s="11">
        <f t="shared" si="130"/>
        <v>0</v>
      </c>
      <c r="AU452" s="11">
        <v>0</v>
      </c>
      <c r="AV452" s="11">
        <f t="shared" si="131"/>
        <v>0.17377995000000002</v>
      </c>
    </row>
    <row r="453" spans="1:48" ht="12.75">
      <c r="A453" s="59" t="s">
        <v>740</v>
      </c>
      <c r="B453" s="59" t="s">
        <v>1119</v>
      </c>
      <c r="C453" s="59" t="s">
        <v>1662</v>
      </c>
      <c r="D453" s="59" t="s">
        <v>142</v>
      </c>
      <c r="E453" s="60">
        <v>5.053</v>
      </c>
      <c r="F453" s="61"/>
      <c r="G453" s="61">
        <f t="shared" si="110"/>
        <v>0</v>
      </c>
      <c r="H453" s="61">
        <f t="shared" si="111"/>
        <v>0</v>
      </c>
      <c r="I453" s="61">
        <f t="shared" si="112"/>
        <v>0</v>
      </c>
      <c r="J453" s="61">
        <v>0.03902</v>
      </c>
      <c r="K453" s="61">
        <f t="shared" si="113"/>
        <v>0.19716806</v>
      </c>
      <c r="L453" s="62" t="s">
        <v>170</v>
      </c>
      <c r="M453" s="39"/>
      <c r="N453" s="39"/>
      <c r="P453" s="11">
        <f t="shared" si="114"/>
        <v>0</v>
      </c>
      <c r="R453" s="11">
        <f t="shared" si="115"/>
        <v>0</v>
      </c>
      <c r="S453" s="11">
        <f t="shared" si="116"/>
        <v>0</v>
      </c>
      <c r="T453" s="11">
        <f t="shared" si="117"/>
        <v>0</v>
      </c>
      <c r="U453" s="11">
        <f t="shared" si="118"/>
        <v>0</v>
      </c>
      <c r="V453" s="11">
        <f t="shared" si="119"/>
        <v>0</v>
      </c>
      <c r="W453" s="11">
        <f t="shared" si="120"/>
        <v>0</v>
      </c>
      <c r="X453" s="11">
        <f t="shared" si="121"/>
        <v>0</v>
      </c>
      <c r="Y453" s="6"/>
      <c r="Z453" s="4">
        <f t="shared" si="122"/>
        <v>0</v>
      </c>
      <c r="AA453" s="4">
        <f t="shared" si="123"/>
        <v>0</v>
      </c>
      <c r="AB453" s="4">
        <f t="shared" si="124"/>
        <v>0</v>
      </c>
      <c r="AD453" s="11">
        <v>21</v>
      </c>
      <c r="AE453" s="11">
        <f t="shared" si="125"/>
        <v>0</v>
      </c>
      <c r="AF453" s="11">
        <f t="shared" si="126"/>
        <v>0</v>
      </c>
      <c r="AG453" s="7" t="s">
        <v>504</v>
      </c>
      <c r="AM453" s="11">
        <f t="shared" si="127"/>
        <v>0</v>
      </c>
      <c r="AN453" s="11">
        <f t="shared" si="128"/>
        <v>0</v>
      </c>
      <c r="AO453" s="12" t="s">
        <v>202</v>
      </c>
      <c r="AP453" s="12" t="s">
        <v>228</v>
      </c>
      <c r="AQ453" s="6" t="s">
        <v>234</v>
      </c>
      <c r="AS453" s="11">
        <f t="shared" si="129"/>
        <v>0</v>
      </c>
      <c r="AT453" s="11">
        <f t="shared" si="130"/>
        <v>0</v>
      </c>
      <c r="AU453" s="11">
        <v>0</v>
      </c>
      <c r="AV453" s="11">
        <f t="shared" si="131"/>
        <v>0.19716806</v>
      </c>
    </row>
    <row r="454" spans="1:48" ht="12.75">
      <c r="A454" s="59" t="s">
        <v>741</v>
      </c>
      <c r="B454" s="59" t="s">
        <v>1120</v>
      </c>
      <c r="C454" s="59" t="s">
        <v>1663</v>
      </c>
      <c r="D454" s="59" t="s">
        <v>142</v>
      </c>
      <c r="E454" s="60">
        <v>22.91</v>
      </c>
      <c r="F454" s="61"/>
      <c r="G454" s="61">
        <f t="shared" si="110"/>
        <v>0</v>
      </c>
      <c r="H454" s="61">
        <f t="shared" si="111"/>
        <v>0</v>
      </c>
      <c r="I454" s="61">
        <f t="shared" si="112"/>
        <v>0</v>
      </c>
      <c r="J454" s="61">
        <v>0.0377</v>
      </c>
      <c r="K454" s="61">
        <f t="shared" si="113"/>
        <v>0.8637069999999999</v>
      </c>
      <c r="L454" s="62" t="s">
        <v>170</v>
      </c>
      <c r="M454" s="39"/>
      <c r="N454" s="39"/>
      <c r="P454" s="11">
        <f t="shared" si="114"/>
        <v>0</v>
      </c>
      <c r="R454" s="11">
        <f t="shared" si="115"/>
        <v>0</v>
      </c>
      <c r="S454" s="11">
        <f t="shared" si="116"/>
        <v>0</v>
      </c>
      <c r="T454" s="11">
        <f t="shared" si="117"/>
        <v>0</v>
      </c>
      <c r="U454" s="11">
        <f t="shared" si="118"/>
        <v>0</v>
      </c>
      <c r="V454" s="11">
        <f t="shared" si="119"/>
        <v>0</v>
      </c>
      <c r="W454" s="11">
        <f t="shared" si="120"/>
        <v>0</v>
      </c>
      <c r="X454" s="11">
        <f t="shared" si="121"/>
        <v>0</v>
      </c>
      <c r="Y454" s="6"/>
      <c r="Z454" s="4">
        <f t="shared" si="122"/>
        <v>0</v>
      </c>
      <c r="AA454" s="4">
        <f t="shared" si="123"/>
        <v>0</v>
      </c>
      <c r="AB454" s="4">
        <f t="shared" si="124"/>
        <v>0</v>
      </c>
      <c r="AD454" s="11">
        <v>21</v>
      </c>
      <c r="AE454" s="11">
        <f t="shared" si="125"/>
        <v>0</v>
      </c>
      <c r="AF454" s="11">
        <f t="shared" si="126"/>
        <v>0</v>
      </c>
      <c r="AG454" s="7" t="s">
        <v>504</v>
      </c>
      <c r="AM454" s="11">
        <f t="shared" si="127"/>
        <v>0</v>
      </c>
      <c r="AN454" s="11">
        <f t="shared" si="128"/>
        <v>0</v>
      </c>
      <c r="AO454" s="12" t="s">
        <v>202</v>
      </c>
      <c r="AP454" s="12" t="s">
        <v>228</v>
      </c>
      <c r="AQ454" s="6" t="s">
        <v>234</v>
      </c>
      <c r="AS454" s="11">
        <f t="shared" si="129"/>
        <v>0</v>
      </c>
      <c r="AT454" s="11">
        <f t="shared" si="130"/>
        <v>0</v>
      </c>
      <c r="AU454" s="11">
        <v>0</v>
      </c>
      <c r="AV454" s="11">
        <f t="shared" si="131"/>
        <v>0.8637069999999999</v>
      </c>
    </row>
    <row r="455" spans="1:48" ht="12.75">
      <c r="A455" s="59" t="s">
        <v>742</v>
      </c>
      <c r="B455" s="59" t="s">
        <v>1121</v>
      </c>
      <c r="C455" s="59" t="s">
        <v>1664</v>
      </c>
      <c r="D455" s="59" t="s">
        <v>142</v>
      </c>
      <c r="E455" s="60">
        <v>0.576</v>
      </c>
      <c r="F455" s="61"/>
      <c r="G455" s="61">
        <f t="shared" si="110"/>
        <v>0</v>
      </c>
      <c r="H455" s="61">
        <f t="shared" si="111"/>
        <v>0</v>
      </c>
      <c r="I455" s="61">
        <f t="shared" si="112"/>
        <v>0</v>
      </c>
      <c r="J455" s="61">
        <v>0.0395</v>
      </c>
      <c r="K455" s="61">
        <f t="shared" si="113"/>
        <v>0.022751999999999998</v>
      </c>
      <c r="L455" s="62" t="s">
        <v>170</v>
      </c>
      <c r="M455" s="39"/>
      <c r="N455" s="39"/>
      <c r="P455" s="11">
        <f t="shared" si="114"/>
        <v>0</v>
      </c>
      <c r="R455" s="11">
        <f t="shared" si="115"/>
        <v>0</v>
      </c>
      <c r="S455" s="11">
        <f t="shared" si="116"/>
        <v>0</v>
      </c>
      <c r="T455" s="11">
        <f t="shared" si="117"/>
        <v>0</v>
      </c>
      <c r="U455" s="11">
        <f t="shared" si="118"/>
        <v>0</v>
      </c>
      <c r="V455" s="11">
        <f t="shared" si="119"/>
        <v>0</v>
      </c>
      <c r="W455" s="11">
        <f t="shared" si="120"/>
        <v>0</v>
      </c>
      <c r="X455" s="11">
        <f t="shared" si="121"/>
        <v>0</v>
      </c>
      <c r="Y455" s="6"/>
      <c r="Z455" s="4">
        <f t="shared" si="122"/>
        <v>0</v>
      </c>
      <c r="AA455" s="4">
        <f t="shared" si="123"/>
        <v>0</v>
      </c>
      <c r="AB455" s="4">
        <f t="shared" si="124"/>
        <v>0</v>
      </c>
      <c r="AD455" s="11">
        <v>21</v>
      </c>
      <c r="AE455" s="11">
        <f t="shared" si="125"/>
        <v>0</v>
      </c>
      <c r="AF455" s="11">
        <f t="shared" si="126"/>
        <v>0</v>
      </c>
      <c r="AG455" s="7" t="s">
        <v>504</v>
      </c>
      <c r="AM455" s="11">
        <f t="shared" si="127"/>
        <v>0</v>
      </c>
      <c r="AN455" s="11">
        <f t="shared" si="128"/>
        <v>0</v>
      </c>
      <c r="AO455" s="12" t="s">
        <v>202</v>
      </c>
      <c r="AP455" s="12" t="s">
        <v>228</v>
      </c>
      <c r="AQ455" s="6" t="s">
        <v>234</v>
      </c>
      <c r="AS455" s="11">
        <f t="shared" si="129"/>
        <v>0</v>
      </c>
      <c r="AT455" s="11">
        <f t="shared" si="130"/>
        <v>0</v>
      </c>
      <c r="AU455" s="11">
        <v>0</v>
      </c>
      <c r="AV455" s="11">
        <f t="shared" si="131"/>
        <v>0.022751999999999998</v>
      </c>
    </row>
    <row r="456" spans="1:48" ht="12.75">
      <c r="A456" s="59" t="s">
        <v>743</v>
      </c>
      <c r="B456" s="59" t="s">
        <v>1122</v>
      </c>
      <c r="C456" s="59" t="s">
        <v>1665</v>
      </c>
      <c r="D456" s="59" t="s">
        <v>142</v>
      </c>
      <c r="E456" s="60">
        <v>56.32</v>
      </c>
      <c r="F456" s="61"/>
      <c r="G456" s="61">
        <f t="shared" si="110"/>
        <v>0</v>
      </c>
      <c r="H456" s="61">
        <f t="shared" si="111"/>
        <v>0</v>
      </c>
      <c r="I456" s="61">
        <f t="shared" si="112"/>
        <v>0</v>
      </c>
      <c r="J456" s="61">
        <v>0.03835</v>
      </c>
      <c r="K456" s="61">
        <f t="shared" si="113"/>
        <v>2.159872</v>
      </c>
      <c r="L456" s="62" t="s">
        <v>170</v>
      </c>
      <c r="M456" s="39"/>
      <c r="N456" s="39"/>
      <c r="P456" s="11">
        <f t="shared" si="114"/>
        <v>0</v>
      </c>
      <c r="R456" s="11">
        <f t="shared" si="115"/>
        <v>0</v>
      </c>
      <c r="S456" s="11">
        <f t="shared" si="116"/>
        <v>0</v>
      </c>
      <c r="T456" s="11">
        <f t="shared" si="117"/>
        <v>0</v>
      </c>
      <c r="U456" s="11">
        <f t="shared" si="118"/>
        <v>0</v>
      </c>
      <c r="V456" s="11">
        <f t="shared" si="119"/>
        <v>0</v>
      </c>
      <c r="W456" s="11">
        <f t="shared" si="120"/>
        <v>0</v>
      </c>
      <c r="X456" s="11">
        <f t="shared" si="121"/>
        <v>0</v>
      </c>
      <c r="Y456" s="6"/>
      <c r="Z456" s="4">
        <f t="shared" si="122"/>
        <v>0</v>
      </c>
      <c r="AA456" s="4">
        <f t="shared" si="123"/>
        <v>0</v>
      </c>
      <c r="AB456" s="4">
        <f t="shared" si="124"/>
        <v>0</v>
      </c>
      <c r="AD456" s="11">
        <v>21</v>
      </c>
      <c r="AE456" s="11">
        <f t="shared" si="125"/>
        <v>0</v>
      </c>
      <c r="AF456" s="11">
        <f t="shared" si="126"/>
        <v>0</v>
      </c>
      <c r="AG456" s="7" t="s">
        <v>504</v>
      </c>
      <c r="AM456" s="11">
        <f t="shared" si="127"/>
        <v>0</v>
      </c>
      <c r="AN456" s="11">
        <f t="shared" si="128"/>
        <v>0</v>
      </c>
      <c r="AO456" s="12" t="s">
        <v>202</v>
      </c>
      <c r="AP456" s="12" t="s">
        <v>228</v>
      </c>
      <c r="AQ456" s="6" t="s">
        <v>234</v>
      </c>
      <c r="AS456" s="11">
        <f t="shared" si="129"/>
        <v>0</v>
      </c>
      <c r="AT456" s="11">
        <f t="shared" si="130"/>
        <v>0</v>
      </c>
      <c r="AU456" s="11">
        <v>0</v>
      </c>
      <c r="AV456" s="11">
        <f t="shared" si="131"/>
        <v>2.159872</v>
      </c>
    </row>
    <row r="457" spans="1:48" ht="12.75">
      <c r="A457" s="59" t="s">
        <v>744</v>
      </c>
      <c r="B457" s="59" t="s">
        <v>1123</v>
      </c>
      <c r="C457" s="59" t="s">
        <v>1666</v>
      </c>
      <c r="D457" s="59" t="s">
        <v>142</v>
      </c>
      <c r="E457" s="60">
        <v>90.724</v>
      </c>
      <c r="F457" s="61"/>
      <c r="G457" s="61">
        <f t="shared" si="110"/>
        <v>0</v>
      </c>
      <c r="H457" s="61">
        <f t="shared" si="111"/>
        <v>0</v>
      </c>
      <c r="I457" s="61">
        <f t="shared" si="112"/>
        <v>0</v>
      </c>
      <c r="J457" s="61">
        <v>0</v>
      </c>
      <c r="K457" s="61">
        <f t="shared" si="113"/>
        <v>0</v>
      </c>
      <c r="L457" s="62" t="s">
        <v>170</v>
      </c>
      <c r="M457" s="39"/>
      <c r="N457" s="39"/>
      <c r="P457" s="11">
        <f t="shared" si="114"/>
        <v>0</v>
      </c>
      <c r="R457" s="11">
        <f t="shared" si="115"/>
        <v>0</v>
      </c>
      <c r="S457" s="11">
        <f t="shared" si="116"/>
        <v>0</v>
      </c>
      <c r="T457" s="11">
        <f t="shared" si="117"/>
        <v>0</v>
      </c>
      <c r="U457" s="11">
        <f t="shared" si="118"/>
        <v>0</v>
      </c>
      <c r="V457" s="11">
        <f t="shared" si="119"/>
        <v>0</v>
      </c>
      <c r="W457" s="11">
        <f t="shared" si="120"/>
        <v>0</v>
      </c>
      <c r="X457" s="11">
        <f t="shared" si="121"/>
        <v>0</v>
      </c>
      <c r="Y457" s="6"/>
      <c r="Z457" s="4">
        <f t="shared" si="122"/>
        <v>0</v>
      </c>
      <c r="AA457" s="4">
        <f t="shared" si="123"/>
        <v>0</v>
      </c>
      <c r="AB457" s="4">
        <f t="shared" si="124"/>
        <v>0</v>
      </c>
      <c r="AD457" s="11">
        <v>21</v>
      </c>
      <c r="AE457" s="11">
        <f t="shared" si="125"/>
        <v>0</v>
      </c>
      <c r="AF457" s="11">
        <f t="shared" si="126"/>
        <v>0</v>
      </c>
      <c r="AG457" s="7" t="s">
        <v>504</v>
      </c>
      <c r="AM457" s="11">
        <f t="shared" si="127"/>
        <v>0</v>
      </c>
      <c r="AN457" s="11">
        <f t="shared" si="128"/>
        <v>0</v>
      </c>
      <c r="AO457" s="12" t="s">
        <v>202</v>
      </c>
      <c r="AP457" s="12" t="s">
        <v>228</v>
      </c>
      <c r="AQ457" s="6" t="s">
        <v>234</v>
      </c>
      <c r="AS457" s="11">
        <f t="shared" si="129"/>
        <v>0</v>
      </c>
      <c r="AT457" s="11">
        <f t="shared" si="130"/>
        <v>0</v>
      </c>
      <c r="AU457" s="11">
        <v>0</v>
      </c>
      <c r="AV457" s="11">
        <f t="shared" si="131"/>
        <v>0</v>
      </c>
    </row>
    <row r="458" spans="1:48" ht="12.75">
      <c r="A458" s="59" t="s">
        <v>745</v>
      </c>
      <c r="B458" s="59" t="s">
        <v>1124</v>
      </c>
      <c r="C458" s="59" t="s">
        <v>1667</v>
      </c>
      <c r="D458" s="59" t="s">
        <v>142</v>
      </c>
      <c r="E458" s="60">
        <v>90.724</v>
      </c>
      <c r="F458" s="61"/>
      <c r="G458" s="61">
        <f t="shared" si="110"/>
        <v>0</v>
      </c>
      <c r="H458" s="61">
        <f t="shared" si="111"/>
        <v>0</v>
      </c>
      <c r="I458" s="61">
        <f t="shared" si="112"/>
        <v>0</v>
      </c>
      <c r="J458" s="61">
        <v>0</v>
      </c>
      <c r="K458" s="61">
        <f t="shared" si="113"/>
        <v>0</v>
      </c>
      <c r="L458" s="62" t="s">
        <v>170</v>
      </c>
      <c r="M458" s="39"/>
      <c r="N458" s="39"/>
      <c r="P458" s="11">
        <f t="shared" si="114"/>
        <v>0</v>
      </c>
      <c r="R458" s="11">
        <f t="shared" si="115"/>
        <v>0</v>
      </c>
      <c r="S458" s="11">
        <f t="shared" si="116"/>
        <v>0</v>
      </c>
      <c r="T458" s="11">
        <f t="shared" si="117"/>
        <v>0</v>
      </c>
      <c r="U458" s="11">
        <f t="shared" si="118"/>
        <v>0</v>
      </c>
      <c r="V458" s="11">
        <f t="shared" si="119"/>
        <v>0</v>
      </c>
      <c r="W458" s="11">
        <f t="shared" si="120"/>
        <v>0</v>
      </c>
      <c r="X458" s="11">
        <f t="shared" si="121"/>
        <v>0</v>
      </c>
      <c r="Y458" s="6"/>
      <c r="Z458" s="4">
        <f t="shared" si="122"/>
        <v>0</v>
      </c>
      <c r="AA458" s="4">
        <f t="shared" si="123"/>
        <v>0</v>
      </c>
      <c r="AB458" s="4">
        <f t="shared" si="124"/>
        <v>0</v>
      </c>
      <c r="AD458" s="11">
        <v>21</v>
      </c>
      <c r="AE458" s="11">
        <f t="shared" si="125"/>
        <v>0</v>
      </c>
      <c r="AF458" s="11">
        <f t="shared" si="126"/>
        <v>0</v>
      </c>
      <c r="AG458" s="7" t="s">
        <v>504</v>
      </c>
      <c r="AM458" s="11">
        <f t="shared" si="127"/>
        <v>0</v>
      </c>
      <c r="AN458" s="11">
        <f t="shared" si="128"/>
        <v>0</v>
      </c>
      <c r="AO458" s="12" t="s">
        <v>202</v>
      </c>
      <c r="AP458" s="12" t="s">
        <v>228</v>
      </c>
      <c r="AQ458" s="6" t="s">
        <v>234</v>
      </c>
      <c r="AS458" s="11">
        <f t="shared" si="129"/>
        <v>0</v>
      </c>
      <c r="AT458" s="11">
        <f t="shared" si="130"/>
        <v>0</v>
      </c>
      <c r="AU458" s="11">
        <v>0</v>
      </c>
      <c r="AV458" s="11">
        <f t="shared" si="131"/>
        <v>0</v>
      </c>
    </row>
    <row r="459" spans="1:48" ht="12.75">
      <c r="A459" s="59" t="s">
        <v>746</v>
      </c>
      <c r="B459" s="59" t="s">
        <v>1125</v>
      </c>
      <c r="C459" s="59" t="s">
        <v>1668</v>
      </c>
      <c r="D459" s="59" t="s">
        <v>142</v>
      </c>
      <c r="E459" s="60">
        <v>318.319</v>
      </c>
      <c r="F459" s="61"/>
      <c r="G459" s="61">
        <f t="shared" si="110"/>
        <v>0</v>
      </c>
      <c r="H459" s="61">
        <f t="shared" si="111"/>
        <v>0</v>
      </c>
      <c r="I459" s="61">
        <f t="shared" si="112"/>
        <v>0</v>
      </c>
      <c r="J459" s="61">
        <v>0</v>
      </c>
      <c r="K459" s="61">
        <f t="shared" si="113"/>
        <v>0</v>
      </c>
      <c r="L459" s="62" t="s">
        <v>170</v>
      </c>
      <c r="M459" s="39"/>
      <c r="N459" s="39"/>
      <c r="P459" s="11">
        <f t="shared" si="114"/>
        <v>0</v>
      </c>
      <c r="R459" s="11">
        <f t="shared" si="115"/>
        <v>0</v>
      </c>
      <c r="S459" s="11">
        <f t="shared" si="116"/>
        <v>0</v>
      </c>
      <c r="T459" s="11">
        <f t="shared" si="117"/>
        <v>0</v>
      </c>
      <c r="U459" s="11">
        <f t="shared" si="118"/>
        <v>0</v>
      </c>
      <c r="V459" s="11">
        <f t="shared" si="119"/>
        <v>0</v>
      </c>
      <c r="W459" s="11">
        <f t="shared" si="120"/>
        <v>0</v>
      </c>
      <c r="X459" s="11">
        <f t="shared" si="121"/>
        <v>0</v>
      </c>
      <c r="Y459" s="6"/>
      <c r="Z459" s="4">
        <f t="shared" si="122"/>
        <v>0</v>
      </c>
      <c r="AA459" s="4">
        <f t="shared" si="123"/>
        <v>0</v>
      </c>
      <c r="AB459" s="4">
        <f t="shared" si="124"/>
        <v>0</v>
      </c>
      <c r="AD459" s="11">
        <v>21</v>
      </c>
      <c r="AE459" s="11">
        <f t="shared" si="125"/>
        <v>0</v>
      </c>
      <c r="AF459" s="11">
        <f t="shared" si="126"/>
        <v>0</v>
      </c>
      <c r="AG459" s="7" t="s">
        <v>504</v>
      </c>
      <c r="AM459" s="11">
        <f t="shared" si="127"/>
        <v>0</v>
      </c>
      <c r="AN459" s="11">
        <f t="shared" si="128"/>
        <v>0</v>
      </c>
      <c r="AO459" s="12" t="s">
        <v>202</v>
      </c>
      <c r="AP459" s="12" t="s">
        <v>228</v>
      </c>
      <c r="AQ459" s="6" t="s">
        <v>234</v>
      </c>
      <c r="AS459" s="11">
        <f t="shared" si="129"/>
        <v>0</v>
      </c>
      <c r="AT459" s="11">
        <f t="shared" si="130"/>
        <v>0</v>
      </c>
      <c r="AU459" s="11">
        <v>0</v>
      </c>
      <c r="AV459" s="11">
        <f t="shared" si="131"/>
        <v>0</v>
      </c>
    </row>
    <row r="460" spans="1:48" ht="12.75">
      <c r="A460" s="59" t="s">
        <v>747</v>
      </c>
      <c r="B460" s="59" t="s">
        <v>1126</v>
      </c>
      <c r="C460" s="59" t="s">
        <v>1669</v>
      </c>
      <c r="D460" s="59" t="s">
        <v>142</v>
      </c>
      <c r="E460" s="60">
        <v>90.724</v>
      </c>
      <c r="F460" s="61"/>
      <c r="G460" s="61">
        <f t="shared" si="110"/>
        <v>0</v>
      </c>
      <c r="H460" s="61">
        <f t="shared" si="111"/>
        <v>0</v>
      </c>
      <c r="I460" s="61">
        <f t="shared" si="112"/>
        <v>0</v>
      </c>
      <c r="J460" s="61">
        <v>0.00049</v>
      </c>
      <c r="K460" s="61">
        <f t="shared" si="113"/>
        <v>0.04445476</v>
      </c>
      <c r="L460" s="62" t="s">
        <v>170</v>
      </c>
      <c r="M460" s="39"/>
      <c r="N460" s="39"/>
      <c r="P460" s="11">
        <f t="shared" si="114"/>
        <v>0</v>
      </c>
      <c r="R460" s="11">
        <f t="shared" si="115"/>
        <v>0</v>
      </c>
      <c r="S460" s="11">
        <f t="shared" si="116"/>
        <v>0</v>
      </c>
      <c r="T460" s="11">
        <f t="shared" si="117"/>
        <v>0</v>
      </c>
      <c r="U460" s="11">
        <f t="shared" si="118"/>
        <v>0</v>
      </c>
      <c r="V460" s="11">
        <f t="shared" si="119"/>
        <v>0</v>
      </c>
      <c r="W460" s="11">
        <f t="shared" si="120"/>
        <v>0</v>
      </c>
      <c r="X460" s="11">
        <f t="shared" si="121"/>
        <v>0</v>
      </c>
      <c r="Y460" s="6"/>
      <c r="Z460" s="4">
        <f t="shared" si="122"/>
        <v>0</v>
      </c>
      <c r="AA460" s="4">
        <f t="shared" si="123"/>
        <v>0</v>
      </c>
      <c r="AB460" s="4">
        <f t="shared" si="124"/>
        <v>0</v>
      </c>
      <c r="AD460" s="11">
        <v>21</v>
      </c>
      <c r="AE460" s="11">
        <f t="shared" si="125"/>
        <v>0</v>
      </c>
      <c r="AF460" s="11">
        <f t="shared" si="126"/>
        <v>0</v>
      </c>
      <c r="AG460" s="7" t="s">
        <v>504</v>
      </c>
      <c r="AM460" s="11">
        <f t="shared" si="127"/>
        <v>0</v>
      </c>
      <c r="AN460" s="11">
        <f t="shared" si="128"/>
        <v>0</v>
      </c>
      <c r="AO460" s="12" t="s">
        <v>202</v>
      </c>
      <c r="AP460" s="12" t="s">
        <v>228</v>
      </c>
      <c r="AQ460" s="6" t="s">
        <v>234</v>
      </c>
      <c r="AS460" s="11">
        <f t="shared" si="129"/>
        <v>0</v>
      </c>
      <c r="AT460" s="11">
        <f t="shared" si="130"/>
        <v>0</v>
      </c>
      <c r="AU460" s="11">
        <v>0</v>
      </c>
      <c r="AV460" s="11">
        <f t="shared" si="131"/>
        <v>0.04445476</v>
      </c>
    </row>
    <row r="461" spans="1:48" ht="12.75">
      <c r="A461" s="59" t="s">
        <v>748</v>
      </c>
      <c r="B461" s="59" t="s">
        <v>1127</v>
      </c>
      <c r="C461" s="59" t="s">
        <v>1670</v>
      </c>
      <c r="D461" s="59" t="s">
        <v>146</v>
      </c>
      <c r="E461" s="60">
        <v>212</v>
      </c>
      <c r="F461" s="61"/>
      <c r="G461" s="61">
        <f t="shared" si="110"/>
        <v>0</v>
      </c>
      <c r="H461" s="61">
        <f t="shared" si="111"/>
        <v>0</v>
      </c>
      <c r="I461" s="61">
        <f t="shared" si="112"/>
        <v>0</v>
      </c>
      <c r="J461" s="61">
        <v>7E-05</v>
      </c>
      <c r="K461" s="61">
        <f t="shared" si="113"/>
        <v>0.014839999999999999</v>
      </c>
      <c r="L461" s="62" t="s">
        <v>170</v>
      </c>
      <c r="M461" s="39"/>
      <c r="N461" s="39"/>
      <c r="P461" s="11">
        <f t="shared" si="114"/>
        <v>0</v>
      </c>
      <c r="R461" s="11">
        <f t="shared" si="115"/>
        <v>0</v>
      </c>
      <c r="S461" s="11">
        <f t="shared" si="116"/>
        <v>0</v>
      </c>
      <c r="T461" s="11">
        <f t="shared" si="117"/>
        <v>0</v>
      </c>
      <c r="U461" s="11">
        <f t="shared" si="118"/>
        <v>0</v>
      </c>
      <c r="V461" s="11">
        <f t="shared" si="119"/>
        <v>0</v>
      </c>
      <c r="W461" s="11">
        <f t="shared" si="120"/>
        <v>0</v>
      </c>
      <c r="X461" s="11">
        <f t="shared" si="121"/>
        <v>0</v>
      </c>
      <c r="Y461" s="6"/>
      <c r="Z461" s="4">
        <f t="shared" si="122"/>
        <v>0</v>
      </c>
      <c r="AA461" s="4">
        <f t="shared" si="123"/>
        <v>0</v>
      </c>
      <c r="AB461" s="4">
        <f t="shared" si="124"/>
        <v>0</v>
      </c>
      <c r="AD461" s="11">
        <v>21</v>
      </c>
      <c r="AE461" s="11">
        <f t="shared" si="125"/>
        <v>0</v>
      </c>
      <c r="AF461" s="11">
        <f t="shared" si="126"/>
        <v>0</v>
      </c>
      <c r="AG461" s="7" t="s">
        <v>504</v>
      </c>
      <c r="AM461" s="11">
        <f t="shared" si="127"/>
        <v>0</v>
      </c>
      <c r="AN461" s="11">
        <f t="shared" si="128"/>
        <v>0</v>
      </c>
      <c r="AO461" s="12" t="s">
        <v>202</v>
      </c>
      <c r="AP461" s="12" t="s">
        <v>228</v>
      </c>
      <c r="AQ461" s="6" t="s">
        <v>234</v>
      </c>
      <c r="AS461" s="11">
        <f t="shared" si="129"/>
        <v>0</v>
      </c>
      <c r="AT461" s="11">
        <f t="shared" si="130"/>
        <v>0</v>
      </c>
      <c r="AU461" s="11">
        <v>0</v>
      </c>
      <c r="AV461" s="11">
        <f t="shared" si="131"/>
        <v>0.014839999999999999</v>
      </c>
    </row>
    <row r="462" spans="1:48" ht="12.75">
      <c r="A462" s="59" t="s">
        <v>749</v>
      </c>
      <c r="B462" s="59" t="s">
        <v>1128</v>
      </c>
      <c r="C462" s="59" t="s">
        <v>1671</v>
      </c>
      <c r="D462" s="59" t="s">
        <v>143</v>
      </c>
      <c r="E462" s="60">
        <v>3.417</v>
      </c>
      <c r="F462" s="61"/>
      <c r="G462" s="61">
        <f t="shared" si="110"/>
        <v>0</v>
      </c>
      <c r="H462" s="61">
        <f t="shared" si="111"/>
        <v>0</v>
      </c>
      <c r="I462" s="61">
        <f t="shared" si="112"/>
        <v>0</v>
      </c>
      <c r="J462" s="61">
        <v>0</v>
      </c>
      <c r="K462" s="61">
        <f t="shared" si="113"/>
        <v>0</v>
      </c>
      <c r="L462" s="62" t="s">
        <v>170</v>
      </c>
      <c r="M462" s="39"/>
      <c r="N462" s="39"/>
      <c r="P462" s="11">
        <f t="shared" si="114"/>
        <v>0</v>
      </c>
      <c r="R462" s="11">
        <f t="shared" si="115"/>
        <v>0</v>
      </c>
      <c r="S462" s="11">
        <f t="shared" si="116"/>
        <v>0</v>
      </c>
      <c r="T462" s="11">
        <f t="shared" si="117"/>
        <v>0</v>
      </c>
      <c r="U462" s="11">
        <f t="shared" si="118"/>
        <v>0</v>
      </c>
      <c r="V462" s="11">
        <f t="shared" si="119"/>
        <v>0</v>
      </c>
      <c r="W462" s="11">
        <f t="shared" si="120"/>
        <v>0</v>
      </c>
      <c r="X462" s="11">
        <f t="shared" si="121"/>
        <v>0</v>
      </c>
      <c r="Y462" s="6"/>
      <c r="Z462" s="4">
        <f t="shared" si="122"/>
        <v>0</v>
      </c>
      <c r="AA462" s="4">
        <f t="shared" si="123"/>
        <v>0</v>
      </c>
      <c r="AB462" s="4">
        <f t="shared" si="124"/>
        <v>0</v>
      </c>
      <c r="AD462" s="11">
        <v>21</v>
      </c>
      <c r="AE462" s="11">
        <f t="shared" si="125"/>
        <v>0</v>
      </c>
      <c r="AF462" s="11">
        <f t="shared" si="126"/>
        <v>0</v>
      </c>
      <c r="AG462" s="7" t="s">
        <v>504</v>
      </c>
      <c r="AM462" s="11">
        <f t="shared" si="127"/>
        <v>0</v>
      </c>
      <c r="AN462" s="11">
        <f t="shared" si="128"/>
        <v>0</v>
      </c>
      <c r="AO462" s="12" t="s">
        <v>202</v>
      </c>
      <c r="AP462" s="12" t="s">
        <v>228</v>
      </c>
      <c r="AQ462" s="6" t="s">
        <v>234</v>
      </c>
      <c r="AS462" s="11">
        <f t="shared" si="129"/>
        <v>0</v>
      </c>
      <c r="AT462" s="11">
        <f t="shared" si="130"/>
        <v>0</v>
      </c>
      <c r="AU462" s="11">
        <v>0</v>
      </c>
      <c r="AV462" s="11">
        <f t="shared" si="131"/>
        <v>0</v>
      </c>
    </row>
    <row r="463" spans="1:37" ht="12.75">
      <c r="A463" s="66"/>
      <c r="B463" s="67" t="s">
        <v>1129</v>
      </c>
      <c r="C463" s="305" t="s">
        <v>1672</v>
      </c>
      <c r="D463" s="306"/>
      <c r="E463" s="306"/>
      <c r="F463" s="306"/>
      <c r="G463" s="68">
        <f>SUM(G464:G468)</f>
        <v>0</v>
      </c>
      <c r="H463" s="68">
        <f>SUM(H464:H468)</f>
        <v>0</v>
      </c>
      <c r="I463" s="68">
        <f>G463+H463</f>
        <v>0</v>
      </c>
      <c r="J463" s="69"/>
      <c r="K463" s="68">
        <f>SUM(K464:K468)</f>
        <v>0.0004</v>
      </c>
      <c r="L463" s="69"/>
      <c r="M463" s="39"/>
      <c r="N463" s="39"/>
      <c r="Y463" s="6"/>
      <c r="AI463" s="13">
        <f>SUM(Z464:Z468)</f>
        <v>0</v>
      </c>
      <c r="AJ463" s="13">
        <f>SUM(AA464:AA468)</f>
        <v>0</v>
      </c>
      <c r="AK463" s="13">
        <f>SUM(AB464:AB468)</f>
        <v>0</v>
      </c>
    </row>
    <row r="464" spans="1:48" ht="12.75">
      <c r="A464" s="59" t="s">
        <v>750</v>
      </c>
      <c r="B464" s="59" t="s">
        <v>1130</v>
      </c>
      <c r="C464" s="59" t="s">
        <v>1673</v>
      </c>
      <c r="D464" s="59" t="s">
        <v>144</v>
      </c>
      <c r="E464" s="60">
        <v>1</v>
      </c>
      <c r="F464" s="61"/>
      <c r="G464" s="61">
        <f>E464*AE464</f>
        <v>0</v>
      </c>
      <c r="H464" s="61">
        <f>I464-G464</f>
        <v>0</v>
      </c>
      <c r="I464" s="61">
        <f>E464*F464</f>
        <v>0</v>
      </c>
      <c r="J464" s="61">
        <v>0.0004</v>
      </c>
      <c r="K464" s="61">
        <f>E464*J464</f>
        <v>0.0004</v>
      </c>
      <c r="L464" s="62" t="s">
        <v>170</v>
      </c>
      <c r="M464" s="39"/>
      <c r="N464" s="39"/>
      <c r="P464" s="11">
        <f>IF(AG464="5",I464,0)</f>
        <v>0</v>
      </c>
      <c r="R464" s="11">
        <f>IF(AG464="1",G464,0)</f>
        <v>0</v>
      </c>
      <c r="S464" s="11">
        <f>IF(AG464="1",H464,0)</f>
        <v>0</v>
      </c>
      <c r="T464" s="11">
        <f>IF(AG464="7",G464,0)</f>
        <v>0</v>
      </c>
      <c r="U464" s="11">
        <f>IF(AG464="7",H464,0)</f>
        <v>0</v>
      </c>
      <c r="V464" s="11">
        <f>IF(AG464="2",G464,0)</f>
        <v>0</v>
      </c>
      <c r="W464" s="11">
        <f>IF(AG464="2",H464,0)</f>
        <v>0</v>
      </c>
      <c r="X464" s="11">
        <f>IF(AG464="0",I464,0)</f>
        <v>0</v>
      </c>
      <c r="Y464" s="6"/>
      <c r="Z464" s="4">
        <f>IF(AD464=0,I464,0)</f>
        <v>0</v>
      </c>
      <c r="AA464" s="4">
        <f>IF(AD464=15,I464,0)</f>
        <v>0</v>
      </c>
      <c r="AB464" s="4">
        <f>IF(AD464=21,I464,0)</f>
        <v>0</v>
      </c>
      <c r="AD464" s="11">
        <v>21</v>
      </c>
      <c r="AE464" s="11">
        <f>F464*0.0245071371208</f>
        <v>0</v>
      </c>
      <c r="AF464" s="11">
        <f>F464*(1-0.0245071371208)</f>
        <v>0</v>
      </c>
      <c r="AG464" s="7" t="s">
        <v>504</v>
      </c>
      <c r="AM464" s="11">
        <f>E464*AE464</f>
        <v>0</v>
      </c>
      <c r="AN464" s="11">
        <f>E464*AF464</f>
        <v>0</v>
      </c>
      <c r="AO464" s="12" t="s">
        <v>203</v>
      </c>
      <c r="AP464" s="12" t="s">
        <v>229</v>
      </c>
      <c r="AQ464" s="6" t="s">
        <v>234</v>
      </c>
      <c r="AS464" s="11">
        <f>AM464+AN464</f>
        <v>0</v>
      </c>
      <c r="AT464" s="11">
        <f>F464/(100-AU464)*100</f>
        <v>0</v>
      </c>
      <c r="AU464" s="11">
        <v>0</v>
      </c>
      <c r="AV464" s="11">
        <f>K464</f>
        <v>0.0004</v>
      </c>
    </row>
    <row r="465" spans="1:14" ht="12.75">
      <c r="A465" s="39"/>
      <c r="B465" s="39"/>
      <c r="C465" s="63" t="s">
        <v>498</v>
      </c>
      <c r="D465" s="39"/>
      <c r="E465" s="64">
        <v>1</v>
      </c>
      <c r="F465" s="39"/>
      <c r="G465" s="39"/>
      <c r="H465" s="39"/>
      <c r="I465" s="39"/>
      <c r="J465" s="39"/>
      <c r="K465" s="39"/>
      <c r="L465" s="39"/>
      <c r="M465" s="39"/>
      <c r="N465" s="39"/>
    </row>
    <row r="466" spans="1:48" ht="12.75">
      <c r="A466" s="70" t="s">
        <v>751</v>
      </c>
      <c r="B466" s="70" t="s">
        <v>1131</v>
      </c>
      <c r="C466" s="70" t="s">
        <v>1674</v>
      </c>
      <c r="D466" s="70" t="s">
        <v>144</v>
      </c>
      <c r="E466" s="71">
        <v>1</v>
      </c>
      <c r="F466" s="72"/>
      <c r="G466" s="72">
        <f>E466*AE466</f>
        <v>0</v>
      </c>
      <c r="H466" s="72">
        <f>I466-G466</f>
        <v>0</v>
      </c>
      <c r="I466" s="72">
        <f>E466*F466</f>
        <v>0</v>
      </c>
      <c r="J466" s="72">
        <v>0</v>
      </c>
      <c r="K466" s="72">
        <f>E466*J466</f>
        <v>0</v>
      </c>
      <c r="L466" s="73" t="s">
        <v>170</v>
      </c>
      <c r="M466" s="39"/>
      <c r="N466" s="39"/>
      <c r="P466" s="11">
        <f>IF(AG466="5",I466,0)</f>
        <v>0</v>
      </c>
      <c r="R466" s="11">
        <f>IF(AG466="1",G466,0)</f>
        <v>0</v>
      </c>
      <c r="S466" s="11">
        <f>IF(AG466="1",H466,0)</f>
        <v>0</v>
      </c>
      <c r="T466" s="11">
        <f>IF(AG466="7",G466,0)</f>
        <v>0</v>
      </c>
      <c r="U466" s="11">
        <f>IF(AG466="7",H466,0)</f>
        <v>0</v>
      </c>
      <c r="V466" s="11">
        <f>IF(AG466="2",G466,0)</f>
        <v>0</v>
      </c>
      <c r="W466" s="11">
        <f>IF(AG466="2",H466,0)</f>
        <v>0</v>
      </c>
      <c r="X466" s="11">
        <f>IF(AG466="0",I466,0)</f>
        <v>0</v>
      </c>
      <c r="Y466" s="6"/>
      <c r="Z466" s="5">
        <f>IF(AD466=0,I466,0)</f>
        <v>0</v>
      </c>
      <c r="AA466" s="5">
        <f>IF(AD466=15,I466,0)</f>
        <v>0</v>
      </c>
      <c r="AB466" s="5">
        <f>IF(AD466=21,I466,0)</f>
        <v>0</v>
      </c>
      <c r="AD466" s="11">
        <v>21</v>
      </c>
      <c r="AE466" s="11">
        <f>F466*1</f>
        <v>0</v>
      </c>
      <c r="AF466" s="11">
        <f>F466*(1-1)</f>
        <v>0</v>
      </c>
      <c r="AG466" s="8" t="s">
        <v>504</v>
      </c>
      <c r="AM466" s="11">
        <f>E466*AE466</f>
        <v>0</v>
      </c>
      <c r="AN466" s="11">
        <f>E466*AF466</f>
        <v>0</v>
      </c>
      <c r="AO466" s="12" t="s">
        <v>203</v>
      </c>
      <c r="AP466" s="12" t="s">
        <v>229</v>
      </c>
      <c r="AQ466" s="6" t="s">
        <v>234</v>
      </c>
      <c r="AS466" s="11">
        <f>AM466+AN466</f>
        <v>0</v>
      </c>
      <c r="AT466" s="11">
        <f>F466/(100-AU466)*100</f>
        <v>0</v>
      </c>
      <c r="AU466" s="11">
        <v>0</v>
      </c>
      <c r="AV466" s="11">
        <f>K466</f>
        <v>0</v>
      </c>
    </row>
    <row r="467" spans="1:14" ht="12.75">
      <c r="A467" s="39"/>
      <c r="B467" s="39"/>
      <c r="C467" s="63" t="s">
        <v>1675</v>
      </c>
      <c r="D467" s="39"/>
      <c r="E467" s="64">
        <v>1</v>
      </c>
      <c r="F467" s="39"/>
      <c r="G467" s="39"/>
      <c r="H467" s="39"/>
      <c r="I467" s="39"/>
      <c r="J467" s="39"/>
      <c r="K467" s="39"/>
      <c r="L467" s="39"/>
      <c r="M467" s="39"/>
      <c r="N467" s="39"/>
    </row>
    <row r="468" spans="1:48" ht="12.75">
      <c r="A468" s="59" t="s">
        <v>752</v>
      </c>
      <c r="B468" s="59" t="s">
        <v>1132</v>
      </c>
      <c r="C468" s="59" t="s">
        <v>1676</v>
      </c>
      <c r="D468" s="59" t="s">
        <v>143</v>
      </c>
      <c r="E468" s="60">
        <v>0</v>
      </c>
      <c r="F468" s="61"/>
      <c r="G468" s="61">
        <f>E468*AE468</f>
        <v>0</v>
      </c>
      <c r="H468" s="61">
        <f>I468-G468</f>
        <v>0</v>
      </c>
      <c r="I468" s="61">
        <f>E468*F468</f>
        <v>0</v>
      </c>
      <c r="J468" s="61">
        <v>0</v>
      </c>
      <c r="K468" s="61">
        <f>E468*J468</f>
        <v>0</v>
      </c>
      <c r="L468" s="62" t="s">
        <v>170</v>
      </c>
      <c r="M468" s="39"/>
      <c r="N468" s="39"/>
      <c r="P468" s="11">
        <f>IF(AG468="5",I468,0)</f>
        <v>0</v>
      </c>
      <c r="R468" s="11">
        <f>IF(AG468="1",G468,0)</f>
        <v>0</v>
      </c>
      <c r="S468" s="11">
        <f>IF(AG468="1",H468,0)</f>
        <v>0</v>
      </c>
      <c r="T468" s="11">
        <f>IF(AG468="7",G468,0)</f>
        <v>0</v>
      </c>
      <c r="U468" s="11">
        <f>IF(AG468="7",H468,0)</f>
        <v>0</v>
      </c>
      <c r="V468" s="11">
        <f>IF(AG468="2",G468,0)</f>
        <v>0</v>
      </c>
      <c r="W468" s="11">
        <f>IF(AG468="2",H468,0)</f>
        <v>0</v>
      </c>
      <c r="X468" s="11">
        <f>IF(AG468="0",I468,0)</f>
        <v>0</v>
      </c>
      <c r="Y468" s="6"/>
      <c r="Z468" s="4">
        <f>IF(AD468=0,I468,0)</f>
        <v>0</v>
      </c>
      <c r="AA468" s="4">
        <f>IF(AD468=15,I468,0)</f>
        <v>0</v>
      </c>
      <c r="AB468" s="4">
        <f>IF(AD468=21,I468,0)</f>
        <v>0</v>
      </c>
      <c r="AD468" s="11">
        <v>21</v>
      </c>
      <c r="AE468" s="11">
        <f>F468*0</f>
        <v>0</v>
      </c>
      <c r="AF468" s="11">
        <f>F468*(1-0)</f>
        <v>0</v>
      </c>
      <c r="AG468" s="7" t="s">
        <v>502</v>
      </c>
      <c r="AM468" s="11">
        <f>E468*AE468</f>
        <v>0</v>
      </c>
      <c r="AN468" s="11">
        <f>E468*AF468</f>
        <v>0</v>
      </c>
      <c r="AO468" s="12" t="s">
        <v>203</v>
      </c>
      <c r="AP468" s="12" t="s">
        <v>229</v>
      </c>
      <c r="AQ468" s="6" t="s">
        <v>234</v>
      </c>
      <c r="AS468" s="11">
        <f>AM468+AN468</f>
        <v>0</v>
      </c>
      <c r="AT468" s="11">
        <f>F468/(100-AU468)*100</f>
        <v>0</v>
      </c>
      <c r="AU468" s="11">
        <v>0</v>
      </c>
      <c r="AV468" s="11">
        <f>K468</f>
        <v>0</v>
      </c>
    </row>
    <row r="469" spans="1:37" ht="12.75">
      <c r="A469" s="66"/>
      <c r="B469" s="67" t="s">
        <v>1133</v>
      </c>
      <c r="C469" s="305" t="s">
        <v>1677</v>
      </c>
      <c r="D469" s="306"/>
      <c r="E469" s="306"/>
      <c r="F469" s="306"/>
      <c r="G469" s="68">
        <f>SUM(G470:G500)</f>
        <v>0</v>
      </c>
      <c r="H469" s="68">
        <f>SUM(H470:H500)</f>
        <v>0</v>
      </c>
      <c r="I469" s="68">
        <f>G469+H469</f>
        <v>0</v>
      </c>
      <c r="J469" s="69"/>
      <c r="K469" s="68">
        <f>SUM(K470:K500)</f>
        <v>0.25024736999999997</v>
      </c>
      <c r="L469" s="69"/>
      <c r="M469" s="39"/>
      <c r="N469" s="39"/>
      <c r="Y469" s="6"/>
      <c r="AI469" s="13">
        <f>SUM(Z470:Z500)</f>
        <v>0</v>
      </c>
      <c r="AJ469" s="13">
        <f>SUM(AA470:AA500)</f>
        <v>0</v>
      </c>
      <c r="AK469" s="13">
        <f>SUM(AB470:AB500)</f>
        <v>0</v>
      </c>
    </row>
    <row r="470" spans="1:48" ht="12.75">
      <c r="A470" s="59" t="s">
        <v>753</v>
      </c>
      <c r="B470" s="59" t="s">
        <v>1134</v>
      </c>
      <c r="C470" s="59" t="s">
        <v>1678</v>
      </c>
      <c r="D470" s="59" t="s">
        <v>146</v>
      </c>
      <c r="E470" s="60">
        <v>26.2</v>
      </c>
      <c r="F470" s="61"/>
      <c r="G470" s="61">
        <f>E470*AE470</f>
        <v>0</v>
      </c>
      <c r="H470" s="61">
        <f>I470-G470</f>
        <v>0</v>
      </c>
      <c r="I470" s="61">
        <f>E470*F470</f>
        <v>0</v>
      </c>
      <c r="J470" s="61">
        <v>0.00275</v>
      </c>
      <c r="K470" s="61">
        <f>E470*J470</f>
        <v>0.07204999999999999</v>
      </c>
      <c r="L470" s="62" t="s">
        <v>170</v>
      </c>
      <c r="M470" s="39"/>
      <c r="N470" s="39"/>
      <c r="P470" s="11">
        <f>IF(AG470="5",I470,0)</f>
        <v>0</v>
      </c>
      <c r="R470" s="11">
        <f>IF(AG470="1",G470,0)</f>
        <v>0</v>
      </c>
      <c r="S470" s="11">
        <f>IF(AG470="1",H470,0)</f>
        <v>0</v>
      </c>
      <c r="T470" s="11">
        <f>IF(AG470="7",G470,0)</f>
        <v>0</v>
      </c>
      <c r="U470" s="11">
        <f>IF(AG470="7",H470,0)</f>
        <v>0</v>
      </c>
      <c r="V470" s="11">
        <f>IF(AG470="2",G470,0)</f>
        <v>0</v>
      </c>
      <c r="W470" s="11">
        <f>IF(AG470="2",H470,0)</f>
        <v>0</v>
      </c>
      <c r="X470" s="11">
        <f>IF(AG470="0",I470,0)</f>
        <v>0</v>
      </c>
      <c r="Y470" s="6"/>
      <c r="Z470" s="4">
        <f>IF(AD470=0,I470,0)</f>
        <v>0</v>
      </c>
      <c r="AA470" s="4">
        <f>IF(AD470=15,I470,0)</f>
        <v>0</v>
      </c>
      <c r="AB470" s="4">
        <f>IF(AD470=21,I470,0)</f>
        <v>0</v>
      </c>
      <c r="AD470" s="11">
        <v>21</v>
      </c>
      <c r="AE470" s="11">
        <f>F470*0.817798144911104</f>
        <v>0</v>
      </c>
      <c r="AF470" s="11">
        <f>F470*(1-0.817798144911104)</f>
        <v>0</v>
      </c>
      <c r="AG470" s="7" t="s">
        <v>504</v>
      </c>
      <c r="AM470" s="11">
        <f>E470*AE470</f>
        <v>0</v>
      </c>
      <c r="AN470" s="11">
        <f>E470*AF470</f>
        <v>0</v>
      </c>
      <c r="AO470" s="12" t="s">
        <v>204</v>
      </c>
      <c r="AP470" s="12" t="s">
        <v>229</v>
      </c>
      <c r="AQ470" s="6" t="s">
        <v>234</v>
      </c>
      <c r="AS470" s="11">
        <f>AM470+AN470</f>
        <v>0</v>
      </c>
      <c r="AT470" s="11">
        <f>F470/(100-AU470)*100</f>
        <v>0</v>
      </c>
      <c r="AU470" s="11">
        <v>0</v>
      </c>
      <c r="AV470" s="11">
        <f>K470</f>
        <v>0.07204999999999999</v>
      </c>
    </row>
    <row r="471" spans="1:14" ht="12.75">
      <c r="A471" s="39"/>
      <c r="B471" s="39"/>
      <c r="C471" s="63" t="s">
        <v>1679</v>
      </c>
      <c r="D471" s="39"/>
      <c r="E471" s="64">
        <v>26.2</v>
      </c>
      <c r="F471" s="39"/>
      <c r="G471" s="39"/>
      <c r="H471" s="39"/>
      <c r="I471" s="39"/>
      <c r="J471" s="39"/>
      <c r="K471" s="39"/>
      <c r="L471" s="39"/>
      <c r="M471" s="39"/>
      <c r="N471" s="39"/>
    </row>
    <row r="472" spans="1:48" ht="12.75">
      <c r="A472" s="59" t="s">
        <v>754</v>
      </c>
      <c r="B472" s="59" t="s">
        <v>1135</v>
      </c>
      <c r="C472" s="59" t="s">
        <v>1680</v>
      </c>
      <c r="D472" s="59" t="s">
        <v>146</v>
      </c>
      <c r="E472" s="60">
        <v>28.5</v>
      </c>
      <c r="F472" s="61"/>
      <c r="G472" s="61">
        <f>E472*AE472</f>
        <v>0</v>
      </c>
      <c r="H472" s="61">
        <f>I472-G472</f>
        <v>0</v>
      </c>
      <c r="I472" s="61">
        <f>E472*F472</f>
        <v>0</v>
      </c>
      <c r="J472" s="61">
        <v>0.00054</v>
      </c>
      <c r="K472" s="61">
        <f>E472*J472</f>
        <v>0.015390000000000001</v>
      </c>
      <c r="L472" s="62" t="s">
        <v>170</v>
      </c>
      <c r="M472" s="39"/>
      <c r="N472" s="39"/>
      <c r="P472" s="11">
        <f>IF(AG472="5",I472,0)</f>
        <v>0</v>
      </c>
      <c r="R472" s="11">
        <f>IF(AG472="1",G472,0)</f>
        <v>0</v>
      </c>
      <c r="S472" s="11">
        <f>IF(AG472="1",H472,0)</f>
        <v>0</v>
      </c>
      <c r="T472" s="11">
        <f>IF(AG472="7",G472,0)</f>
        <v>0</v>
      </c>
      <c r="U472" s="11">
        <f>IF(AG472="7",H472,0)</f>
        <v>0</v>
      </c>
      <c r="V472" s="11">
        <f>IF(AG472="2",G472,0)</f>
        <v>0</v>
      </c>
      <c r="W472" s="11">
        <f>IF(AG472="2",H472,0)</f>
        <v>0</v>
      </c>
      <c r="X472" s="11">
        <f>IF(AG472="0",I472,0)</f>
        <v>0</v>
      </c>
      <c r="Y472" s="6"/>
      <c r="Z472" s="4">
        <f>IF(AD472=0,I472,0)</f>
        <v>0</v>
      </c>
      <c r="AA472" s="4">
        <f>IF(AD472=15,I472,0)</f>
        <v>0</v>
      </c>
      <c r="AB472" s="4">
        <f>IF(AD472=21,I472,0)</f>
        <v>0</v>
      </c>
      <c r="AD472" s="11">
        <v>21</v>
      </c>
      <c r="AE472" s="11">
        <f>F472*0.7721208758179</f>
        <v>0</v>
      </c>
      <c r="AF472" s="11">
        <f>F472*(1-0.7721208758179)</f>
        <v>0</v>
      </c>
      <c r="AG472" s="7" t="s">
        <v>504</v>
      </c>
      <c r="AM472" s="11">
        <f>E472*AE472</f>
        <v>0</v>
      </c>
      <c r="AN472" s="11">
        <f>E472*AF472</f>
        <v>0</v>
      </c>
      <c r="AO472" s="12" t="s">
        <v>204</v>
      </c>
      <c r="AP472" s="12" t="s">
        <v>229</v>
      </c>
      <c r="AQ472" s="6" t="s">
        <v>234</v>
      </c>
      <c r="AS472" s="11">
        <f>AM472+AN472</f>
        <v>0</v>
      </c>
      <c r="AT472" s="11">
        <f>F472/(100-AU472)*100</f>
        <v>0</v>
      </c>
      <c r="AU472" s="11">
        <v>0</v>
      </c>
      <c r="AV472" s="11">
        <f>K472</f>
        <v>0.015390000000000001</v>
      </c>
    </row>
    <row r="473" spans="1:14" ht="12.75">
      <c r="A473" s="39"/>
      <c r="B473" s="39"/>
      <c r="C473" s="63" t="s">
        <v>1681</v>
      </c>
      <c r="D473" s="39"/>
      <c r="E473" s="64">
        <v>28.5</v>
      </c>
      <c r="F473" s="39"/>
      <c r="G473" s="39"/>
      <c r="H473" s="39"/>
      <c r="I473" s="39"/>
      <c r="J473" s="39"/>
      <c r="K473" s="39"/>
      <c r="L473" s="39"/>
      <c r="M473" s="39"/>
      <c r="N473" s="39"/>
    </row>
    <row r="474" spans="1:48" ht="12.75">
      <c r="A474" s="59" t="s">
        <v>755</v>
      </c>
      <c r="B474" s="59" t="s">
        <v>1136</v>
      </c>
      <c r="C474" s="59" t="s">
        <v>1682</v>
      </c>
      <c r="D474" s="59" t="s">
        <v>146</v>
      </c>
      <c r="E474" s="60">
        <v>28.5</v>
      </c>
      <c r="F474" s="61"/>
      <c r="G474" s="61">
        <f>E474*AE474</f>
        <v>0</v>
      </c>
      <c r="H474" s="61">
        <f>I474-G474</f>
        <v>0</v>
      </c>
      <c r="I474" s="61">
        <f>E474*F474</f>
        <v>0</v>
      </c>
      <c r="J474" s="61">
        <v>0.00052</v>
      </c>
      <c r="K474" s="61">
        <f>E474*J474</f>
        <v>0.014819999999999998</v>
      </c>
      <c r="L474" s="62" t="s">
        <v>170</v>
      </c>
      <c r="M474" s="39"/>
      <c r="N474" s="39"/>
      <c r="P474" s="11">
        <f>IF(AG474="5",I474,0)</f>
        <v>0</v>
      </c>
      <c r="R474" s="11">
        <f>IF(AG474="1",G474,0)</f>
        <v>0</v>
      </c>
      <c r="S474" s="11">
        <f>IF(AG474="1",H474,0)</f>
        <v>0</v>
      </c>
      <c r="T474" s="11">
        <f>IF(AG474="7",G474,0)</f>
        <v>0</v>
      </c>
      <c r="U474" s="11">
        <f>IF(AG474="7",H474,0)</f>
        <v>0</v>
      </c>
      <c r="V474" s="11">
        <f>IF(AG474="2",G474,0)</f>
        <v>0</v>
      </c>
      <c r="W474" s="11">
        <f>IF(AG474="2",H474,0)</f>
        <v>0</v>
      </c>
      <c r="X474" s="11">
        <f>IF(AG474="0",I474,0)</f>
        <v>0</v>
      </c>
      <c r="Y474" s="6"/>
      <c r="Z474" s="4">
        <f>IF(AD474=0,I474,0)</f>
        <v>0</v>
      </c>
      <c r="AA474" s="4">
        <f>IF(AD474=15,I474,0)</f>
        <v>0</v>
      </c>
      <c r="AB474" s="4">
        <f>IF(AD474=21,I474,0)</f>
        <v>0</v>
      </c>
      <c r="AD474" s="11">
        <v>21</v>
      </c>
      <c r="AE474" s="11">
        <f>F474*0.772597137014315</f>
        <v>0</v>
      </c>
      <c r="AF474" s="11">
        <f>F474*(1-0.772597137014315)</f>
        <v>0</v>
      </c>
      <c r="AG474" s="7" t="s">
        <v>504</v>
      </c>
      <c r="AM474" s="11">
        <f>E474*AE474</f>
        <v>0</v>
      </c>
      <c r="AN474" s="11">
        <f>E474*AF474</f>
        <v>0</v>
      </c>
      <c r="AO474" s="12" t="s">
        <v>204</v>
      </c>
      <c r="AP474" s="12" t="s">
        <v>229</v>
      </c>
      <c r="AQ474" s="6" t="s">
        <v>234</v>
      </c>
      <c r="AS474" s="11">
        <f>AM474+AN474</f>
        <v>0</v>
      </c>
      <c r="AT474" s="11">
        <f>F474/(100-AU474)*100</f>
        <v>0</v>
      </c>
      <c r="AU474" s="11">
        <v>0</v>
      </c>
      <c r="AV474" s="11">
        <f>K474</f>
        <v>0.014819999999999998</v>
      </c>
    </row>
    <row r="475" spans="1:14" ht="12.75">
      <c r="A475" s="39"/>
      <c r="B475" s="39"/>
      <c r="C475" s="63" t="s">
        <v>1683</v>
      </c>
      <c r="D475" s="39"/>
      <c r="E475" s="64">
        <v>28.5</v>
      </c>
      <c r="F475" s="39"/>
      <c r="G475" s="39"/>
      <c r="H475" s="39"/>
      <c r="I475" s="39"/>
      <c r="J475" s="39"/>
      <c r="K475" s="39"/>
      <c r="L475" s="39"/>
      <c r="M475" s="39"/>
      <c r="N475" s="39"/>
    </row>
    <row r="476" spans="1:48" ht="12.75">
      <c r="A476" s="59" t="s">
        <v>756</v>
      </c>
      <c r="B476" s="59" t="s">
        <v>1137</v>
      </c>
      <c r="C476" s="59" t="s">
        <v>1684</v>
      </c>
      <c r="D476" s="59" t="s">
        <v>146</v>
      </c>
      <c r="E476" s="60">
        <v>22</v>
      </c>
      <c r="F476" s="61"/>
      <c r="G476" s="61">
        <f>E476*AE476</f>
        <v>0</v>
      </c>
      <c r="H476" s="61">
        <f>I476-G476</f>
        <v>0</v>
      </c>
      <c r="I476" s="61">
        <f>E476*F476</f>
        <v>0</v>
      </c>
      <c r="J476" s="61">
        <v>0.00089</v>
      </c>
      <c r="K476" s="61">
        <f>E476*J476</f>
        <v>0.01958</v>
      </c>
      <c r="L476" s="62" t="s">
        <v>170</v>
      </c>
      <c r="M476" s="39"/>
      <c r="N476" s="39"/>
      <c r="P476" s="11">
        <f>IF(AG476="5",I476,0)</f>
        <v>0</v>
      </c>
      <c r="R476" s="11">
        <f>IF(AG476="1",G476,0)</f>
        <v>0</v>
      </c>
      <c r="S476" s="11">
        <f>IF(AG476="1",H476,0)</f>
        <v>0</v>
      </c>
      <c r="T476" s="11">
        <f>IF(AG476="7",G476,0)</f>
        <v>0</v>
      </c>
      <c r="U476" s="11">
        <f>IF(AG476="7",H476,0)</f>
        <v>0</v>
      </c>
      <c r="V476" s="11">
        <f>IF(AG476="2",G476,0)</f>
        <v>0</v>
      </c>
      <c r="W476" s="11">
        <f>IF(AG476="2",H476,0)</f>
        <v>0</v>
      </c>
      <c r="X476" s="11">
        <f>IF(AG476="0",I476,0)</f>
        <v>0</v>
      </c>
      <c r="Y476" s="6"/>
      <c r="Z476" s="4">
        <f>IF(AD476=0,I476,0)</f>
        <v>0</v>
      </c>
      <c r="AA476" s="4">
        <f>IF(AD476=15,I476,0)</f>
        <v>0</v>
      </c>
      <c r="AB476" s="4">
        <f>IF(AD476=21,I476,0)</f>
        <v>0</v>
      </c>
      <c r="AD476" s="11">
        <v>21</v>
      </c>
      <c r="AE476" s="11">
        <f>F476*0.0856393442622951</f>
        <v>0</v>
      </c>
      <c r="AF476" s="11">
        <f>F476*(1-0.0856393442622951)</f>
        <v>0</v>
      </c>
      <c r="AG476" s="7" t="s">
        <v>504</v>
      </c>
      <c r="AM476" s="11">
        <f>E476*AE476</f>
        <v>0</v>
      </c>
      <c r="AN476" s="11">
        <f>E476*AF476</f>
        <v>0</v>
      </c>
      <c r="AO476" s="12" t="s">
        <v>204</v>
      </c>
      <c r="AP476" s="12" t="s">
        <v>229</v>
      </c>
      <c r="AQ476" s="6" t="s">
        <v>234</v>
      </c>
      <c r="AS476" s="11">
        <f>AM476+AN476</f>
        <v>0</v>
      </c>
      <c r="AT476" s="11">
        <f>F476/(100-AU476)*100</f>
        <v>0</v>
      </c>
      <c r="AU476" s="11">
        <v>0</v>
      </c>
      <c r="AV476" s="11">
        <f>K476</f>
        <v>0.01958</v>
      </c>
    </row>
    <row r="477" spans="1:14" ht="12.75">
      <c r="A477" s="39"/>
      <c r="B477" s="39"/>
      <c r="C477" s="63" t="s">
        <v>1685</v>
      </c>
      <c r="D477" s="39"/>
      <c r="E477" s="64">
        <v>9.1</v>
      </c>
      <c r="F477" s="39"/>
      <c r="G477" s="39"/>
      <c r="H477" s="39"/>
      <c r="I477" s="39"/>
      <c r="J477" s="39"/>
      <c r="K477" s="39"/>
      <c r="L477" s="39"/>
      <c r="M477" s="39"/>
      <c r="N477" s="39"/>
    </row>
    <row r="478" spans="1:14" ht="12.75">
      <c r="A478" s="39"/>
      <c r="B478" s="39"/>
      <c r="C478" s="63" t="s">
        <v>1686</v>
      </c>
      <c r="D478" s="39"/>
      <c r="E478" s="64">
        <v>12.9</v>
      </c>
      <c r="F478" s="39"/>
      <c r="G478" s="39"/>
      <c r="H478" s="39"/>
      <c r="I478" s="39"/>
      <c r="J478" s="39"/>
      <c r="K478" s="39"/>
      <c r="L478" s="39"/>
      <c r="M478" s="39"/>
      <c r="N478" s="39"/>
    </row>
    <row r="479" spans="1:48" ht="12.75">
      <c r="A479" s="70" t="s">
        <v>757</v>
      </c>
      <c r="B479" s="70" t="s">
        <v>1138</v>
      </c>
      <c r="C479" s="70" t="s">
        <v>1687</v>
      </c>
      <c r="D479" s="70" t="s">
        <v>142</v>
      </c>
      <c r="E479" s="71">
        <v>11.308</v>
      </c>
      <c r="F479" s="72"/>
      <c r="G479" s="72">
        <f>E479*AE479</f>
        <v>0</v>
      </c>
      <c r="H479" s="72">
        <f>I479-G479</f>
        <v>0</v>
      </c>
      <c r="I479" s="72">
        <f>E479*F479</f>
        <v>0</v>
      </c>
      <c r="J479" s="72">
        <v>0.00193</v>
      </c>
      <c r="K479" s="72">
        <f>E479*J479</f>
        <v>0.02182444</v>
      </c>
      <c r="L479" s="73" t="s">
        <v>170</v>
      </c>
      <c r="M479" s="39"/>
      <c r="N479" s="39"/>
      <c r="P479" s="11">
        <f>IF(AG479="5",I479,0)</f>
        <v>0</v>
      </c>
      <c r="R479" s="11">
        <f>IF(AG479="1",G479,0)</f>
        <v>0</v>
      </c>
      <c r="S479" s="11">
        <f>IF(AG479="1",H479,0)</f>
        <v>0</v>
      </c>
      <c r="T479" s="11">
        <f>IF(AG479="7",G479,0)</f>
        <v>0</v>
      </c>
      <c r="U479" s="11">
        <f>IF(AG479="7",H479,0)</f>
        <v>0</v>
      </c>
      <c r="V479" s="11">
        <f>IF(AG479="2",G479,0)</f>
        <v>0</v>
      </c>
      <c r="W479" s="11">
        <f>IF(AG479="2",H479,0)</f>
        <v>0</v>
      </c>
      <c r="X479" s="11">
        <f>IF(AG479="0",I479,0)</f>
        <v>0</v>
      </c>
      <c r="Y479" s="6"/>
      <c r="Z479" s="5">
        <f>IF(AD479=0,I479,0)</f>
        <v>0</v>
      </c>
      <c r="AA479" s="5">
        <f>IF(AD479=15,I479,0)</f>
        <v>0</v>
      </c>
      <c r="AB479" s="5">
        <f>IF(AD479=21,I479,0)</f>
        <v>0</v>
      </c>
      <c r="AD479" s="11">
        <v>21</v>
      </c>
      <c r="AE479" s="11">
        <f>F479*1</f>
        <v>0</v>
      </c>
      <c r="AF479" s="11">
        <f>F479*(1-1)</f>
        <v>0</v>
      </c>
      <c r="AG479" s="8" t="s">
        <v>504</v>
      </c>
      <c r="AM479" s="11">
        <f>E479*AE479</f>
        <v>0</v>
      </c>
      <c r="AN479" s="11">
        <f>E479*AF479</f>
        <v>0</v>
      </c>
      <c r="AO479" s="12" t="s">
        <v>204</v>
      </c>
      <c r="AP479" s="12" t="s">
        <v>229</v>
      </c>
      <c r="AQ479" s="6" t="s">
        <v>234</v>
      </c>
      <c r="AS479" s="11">
        <f>AM479+AN479</f>
        <v>0</v>
      </c>
      <c r="AT479" s="11">
        <f>F479/(100-AU479)*100</f>
        <v>0</v>
      </c>
      <c r="AU479" s="11">
        <v>0</v>
      </c>
      <c r="AV479" s="11">
        <f>K479</f>
        <v>0.02182444</v>
      </c>
    </row>
    <row r="480" spans="1:14" ht="12.75">
      <c r="A480" s="39"/>
      <c r="B480" s="39"/>
      <c r="C480" s="63" t="s">
        <v>1688</v>
      </c>
      <c r="D480" s="39"/>
      <c r="E480" s="64">
        <v>10.47</v>
      </c>
      <c r="F480" s="39"/>
      <c r="G480" s="39"/>
      <c r="H480" s="39"/>
      <c r="I480" s="39"/>
      <c r="J480" s="39"/>
      <c r="K480" s="39"/>
      <c r="L480" s="39"/>
      <c r="M480" s="39"/>
      <c r="N480" s="39"/>
    </row>
    <row r="481" spans="1:14" ht="12.75">
      <c r="A481" s="39"/>
      <c r="B481" s="39"/>
      <c r="C481" s="63" t="s">
        <v>1689</v>
      </c>
      <c r="D481" s="39"/>
      <c r="E481" s="64">
        <v>0.838</v>
      </c>
      <c r="F481" s="39"/>
      <c r="G481" s="39"/>
      <c r="H481" s="39"/>
      <c r="I481" s="39"/>
      <c r="J481" s="39"/>
      <c r="K481" s="39"/>
      <c r="L481" s="39"/>
      <c r="M481" s="39"/>
      <c r="N481" s="39"/>
    </row>
    <row r="482" spans="1:48" ht="12.75">
      <c r="A482" s="59" t="s">
        <v>758</v>
      </c>
      <c r="B482" s="59" t="s">
        <v>1139</v>
      </c>
      <c r="C482" s="59" t="s">
        <v>1690</v>
      </c>
      <c r="D482" s="59" t="s">
        <v>146</v>
      </c>
      <c r="E482" s="60">
        <v>12.7</v>
      </c>
      <c r="F482" s="61"/>
      <c r="G482" s="61">
        <f>E482*AE482</f>
        <v>0</v>
      </c>
      <c r="H482" s="61">
        <f>I482-G482</f>
        <v>0</v>
      </c>
      <c r="I482" s="61">
        <f>E482*F482</f>
        <v>0</v>
      </c>
      <c r="J482" s="61">
        <v>0.00086</v>
      </c>
      <c r="K482" s="61">
        <f>E482*J482</f>
        <v>0.010922</v>
      </c>
      <c r="L482" s="62" t="s">
        <v>170</v>
      </c>
      <c r="M482" s="39"/>
      <c r="N482" s="39"/>
      <c r="P482" s="11">
        <f>IF(AG482="5",I482,0)</f>
        <v>0</v>
      </c>
      <c r="R482" s="11">
        <f>IF(AG482="1",G482,0)</f>
        <v>0</v>
      </c>
      <c r="S482" s="11">
        <f>IF(AG482="1",H482,0)</f>
        <v>0</v>
      </c>
      <c r="T482" s="11">
        <f>IF(AG482="7",G482,0)</f>
        <v>0</v>
      </c>
      <c r="U482" s="11">
        <f>IF(AG482="7",H482,0)</f>
        <v>0</v>
      </c>
      <c r="V482" s="11">
        <f>IF(AG482="2",G482,0)</f>
        <v>0</v>
      </c>
      <c r="W482" s="11">
        <f>IF(AG482="2",H482,0)</f>
        <v>0</v>
      </c>
      <c r="X482" s="11">
        <f>IF(AG482="0",I482,0)</f>
        <v>0</v>
      </c>
      <c r="Y482" s="6"/>
      <c r="Z482" s="4">
        <f>IF(AD482=0,I482,0)</f>
        <v>0</v>
      </c>
      <c r="AA482" s="4">
        <f>IF(AD482=15,I482,0)</f>
        <v>0</v>
      </c>
      <c r="AB482" s="4">
        <f>IF(AD482=21,I482,0)</f>
        <v>0</v>
      </c>
      <c r="AD482" s="11">
        <v>21</v>
      </c>
      <c r="AE482" s="11">
        <f>F482*0.09626134673573</f>
        <v>0</v>
      </c>
      <c r="AF482" s="11">
        <f>F482*(1-0.09626134673573)</f>
        <v>0</v>
      </c>
      <c r="AG482" s="7" t="s">
        <v>504</v>
      </c>
      <c r="AM482" s="11">
        <f>E482*AE482</f>
        <v>0</v>
      </c>
      <c r="AN482" s="11">
        <f>E482*AF482</f>
        <v>0</v>
      </c>
      <c r="AO482" s="12" t="s">
        <v>204</v>
      </c>
      <c r="AP482" s="12" t="s">
        <v>229</v>
      </c>
      <c r="AQ482" s="6" t="s">
        <v>234</v>
      </c>
      <c r="AS482" s="11">
        <f>AM482+AN482</f>
        <v>0</v>
      </c>
      <c r="AT482" s="11">
        <f>F482/(100-AU482)*100</f>
        <v>0</v>
      </c>
      <c r="AU482" s="11">
        <v>0</v>
      </c>
      <c r="AV482" s="11">
        <f>K482</f>
        <v>0.010922</v>
      </c>
    </row>
    <row r="483" spans="1:14" ht="12.75">
      <c r="A483" s="39"/>
      <c r="B483" s="39"/>
      <c r="C483" s="63" t="s">
        <v>1691</v>
      </c>
      <c r="D483" s="39"/>
      <c r="E483" s="64">
        <v>12.7</v>
      </c>
      <c r="F483" s="39"/>
      <c r="G483" s="39"/>
      <c r="H483" s="39"/>
      <c r="I483" s="39"/>
      <c r="J483" s="39"/>
      <c r="K483" s="39"/>
      <c r="L483" s="39"/>
      <c r="M483" s="39"/>
      <c r="N483" s="39"/>
    </row>
    <row r="484" spans="1:48" ht="12.75">
      <c r="A484" s="70" t="s">
        <v>759</v>
      </c>
      <c r="B484" s="70" t="s">
        <v>1138</v>
      </c>
      <c r="C484" s="70" t="s">
        <v>1687</v>
      </c>
      <c r="D484" s="70" t="s">
        <v>142</v>
      </c>
      <c r="E484" s="71">
        <v>6.858</v>
      </c>
      <c r="F484" s="72"/>
      <c r="G484" s="72">
        <f>E484*AE484</f>
        <v>0</v>
      </c>
      <c r="H484" s="72">
        <f>I484-G484</f>
        <v>0</v>
      </c>
      <c r="I484" s="72">
        <f>E484*F484</f>
        <v>0</v>
      </c>
      <c r="J484" s="72">
        <v>0.00193</v>
      </c>
      <c r="K484" s="72">
        <f>E484*J484</f>
        <v>0.01323594</v>
      </c>
      <c r="L484" s="73" t="s">
        <v>170</v>
      </c>
      <c r="M484" s="39"/>
      <c r="N484" s="39"/>
      <c r="P484" s="11">
        <f>IF(AG484="5",I484,0)</f>
        <v>0</v>
      </c>
      <c r="R484" s="11">
        <f>IF(AG484="1",G484,0)</f>
        <v>0</v>
      </c>
      <c r="S484" s="11">
        <f>IF(AG484="1",H484,0)</f>
        <v>0</v>
      </c>
      <c r="T484" s="11">
        <f>IF(AG484="7",G484,0)</f>
        <v>0</v>
      </c>
      <c r="U484" s="11">
        <f>IF(AG484="7",H484,0)</f>
        <v>0</v>
      </c>
      <c r="V484" s="11">
        <f>IF(AG484="2",G484,0)</f>
        <v>0</v>
      </c>
      <c r="W484" s="11">
        <f>IF(AG484="2",H484,0)</f>
        <v>0</v>
      </c>
      <c r="X484" s="11">
        <f>IF(AG484="0",I484,0)</f>
        <v>0</v>
      </c>
      <c r="Y484" s="6"/>
      <c r="Z484" s="5">
        <f>IF(AD484=0,I484,0)</f>
        <v>0</v>
      </c>
      <c r="AA484" s="5">
        <f>IF(AD484=15,I484,0)</f>
        <v>0</v>
      </c>
      <c r="AB484" s="5">
        <f>IF(AD484=21,I484,0)</f>
        <v>0</v>
      </c>
      <c r="AD484" s="11">
        <v>21</v>
      </c>
      <c r="AE484" s="11">
        <f>F484*1</f>
        <v>0</v>
      </c>
      <c r="AF484" s="11">
        <f>F484*(1-1)</f>
        <v>0</v>
      </c>
      <c r="AG484" s="8" t="s">
        <v>504</v>
      </c>
      <c r="AM484" s="11">
        <f>E484*AE484</f>
        <v>0</v>
      </c>
      <c r="AN484" s="11">
        <f>E484*AF484</f>
        <v>0</v>
      </c>
      <c r="AO484" s="12" t="s">
        <v>204</v>
      </c>
      <c r="AP484" s="12" t="s">
        <v>229</v>
      </c>
      <c r="AQ484" s="6" t="s">
        <v>234</v>
      </c>
      <c r="AS484" s="11">
        <f>AM484+AN484</f>
        <v>0</v>
      </c>
      <c r="AT484" s="11">
        <f>F484/(100-AU484)*100</f>
        <v>0</v>
      </c>
      <c r="AU484" s="11">
        <v>0</v>
      </c>
      <c r="AV484" s="11">
        <f>K484</f>
        <v>0.01323594</v>
      </c>
    </row>
    <row r="485" spans="1:14" ht="12.75">
      <c r="A485" s="39"/>
      <c r="B485" s="39"/>
      <c r="C485" s="63" t="s">
        <v>1692</v>
      </c>
      <c r="D485" s="39"/>
      <c r="E485" s="64">
        <v>6.35</v>
      </c>
      <c r="F485" s="39"/>
      <c r="G485" s="39"/>
      <c r="H485" s="39"/>
      <c r="I485" s="39"/>
      <c r="J485" s="39"/>
      <c r="K485" s="39"/>
      <c r="L485" s="39"/>
      <c r="M485" s="39"/>
      <c r="N485" s="39"/>
    </row>
    <row r="486" spans="1:14" ht="12.75">
      <c r="A486" s="39"/>
      <c r="B486" s="39"/>
      <c r="C486" s="63" t="s">
        <v>1693</v>
      </c>
      <c r="D486" s="39"/>
      <c r="E486" s="64">
        <v>0.508</v>
      </c>
      <c r="F486" s="39"/>
      <c r="G486" s="39"/>
      <c r="H486" s="39"/>
      <c r="I486" s="39"/>
      <c r="J486" s="39"/>
      <c r="K486" s="39"/>
      <c r="L486" s="39"/>
      <c r="M486" s="39"/>
      <c r="N486" s="39"/>
    </row>
    <row r="487" spans="1:48" ht="12.75">
      <c r="A487" s="59" t="s">
        <v>760</v>
      </c>
      <c r="B487" s="59" t="s">
        <v>1140</v>
      </c>
      <c r="C487" s="59" t="s">
        <v>1694</v>
      </c>
      <c r="D487" s="59" t="s">
        <v>146</v>
      </c>
      <c r="E487" s="60">
        <v>13.7</v>
      </c>
      <c r="F487" s="61"/>
      <c r="G487" s="61">
        <f>E487*AE487</f>
        <v>0</v>
      </c>
      <c r="H487" s="61">
        <f>I487-G487</f>
        <v>0</v>
      </c>
      <c r="I487" s="61">
        <f>E487*F487</f>
        <v>0</v>
      </c>
      <c r="J487" s="61">
        <v>0.00197</v>
      </c>
      <c r="K487" s="61">
        <f>E487*J487</f>
        <v>0.026989</v>
      </c>
      <c r="L487" s="62" t="s">
        <v>170</v>
      </c>
      <c r="M487" s="39"/>
      <c r="N487" s="39"/>
      <c r="P487" s="11">
        <f>IF(AG487="5",I487,0)</f>
        <v>0</v>
      </c>
      <c r="R487" s="11">
        <f>IF(AG487="1",G487,0)</f>
        <v>0</v>
      </c>
      <c r="S487" s="11">
        <f>IF(AG487="1",H487,0)</f>
        <v>0</v>
      </c>
      <c r="T487" s="11">
        <f>IF(AG487="7",G487,0)</f>
        <v>0</v>
      </c>
      <c r="U487" s="11">
        <f>IF(AG487="7",H487,0)</f>
        <v>0</v>
      </c>
      <c r="V487" s="11">
        <f>IF(AG487="2",G487,0)</f>
        <v>0</v>
      </c>
      <c r="W487" s="11">
        <f>IF(AG487="2",H487,0)</f>
        <v>0</v>
      </c>
      <c r="X487" s="11">
        <f>IF(AG487="0",I487,0)</f>
        <v>0</v>
      </c>
      <c r="Y487" s="6"/>
      <c r="Z487" s="4">
        <f>IF(AD487=0,I487,0)</f>
        <v>0</v>
      </c>
      <c r="AA487" s="4">
        <f>IF(AD487=15,I487,0)</f>
        <v>0</v>
      </c>
      <c r="AB487" s="4">
        <f>IF(AD487=21,I487,0)</f>
        <v>0</v>
      </c>
      <c r="AD487" s="11">
        <v>21</v>
      </c>
      <c r="AE487" s="11">
        <f>F487*0.823747062451041</f>
        <v>0</v>
      </c>
      <c r="AF487" s="11">
        <f>F487*(1-0.823747062451041)</f>
        <v>0</v>
      </c>
      <c r="AG487" s="7" t="s">
        <v>504</v>
      </c>
      <c r="AM487" s="11">
        <f>E487*AE487</f>
        <v>0</v>
      </c>
      <c r="AN487" s="11">
        <f>E487*AF487</f>
        <v>0</v>
      </c>
      <c r="AO487" s="12" t="s">
        <v>204</v>
      </c>
      <c r="AP487" s="12" t="s">
        <v>229</v>
      </c>
      <c r="AQ487" s="6" t="s">
        <v>234</v>
      </c>
      <c r="AS487" s="11">
        <f>AM487+AN487</f>
        <v>0</v>
      </c>
      <c r="AT487" s="11">
        <f>F487/(100-AU487)*100</f>
        <v>0</v>
      </c>
      <c r="AU487" s="11">
        <v>0</v>
      </c>
      <c r="AV487" s="11">
        <f>K487</f>
        <v>0.026989</v>
      </c>
    </row>
    <row r="488" spans="1:14" ht="12.75">
      <c r="A488" s="39"/>
      <c r="B488" s="39"/>
      <c r="C488" s="63" t="s">
        <v>1695</v>
      </c>
      <c r="D488" s="39"/>
      <c r="E488" s="64">
        <v>13.7</v>
      </c>
      <c r="F488" s="39"/>
      <c r="G488" s="39"/>
      <c r="H488" s="39"/>
      <c r="I488" s="39"/>
      <c r="J488" s="39"/>
      <c r="K488" s="39"/>
      <c r="L488" s="39"/>
      <c r="M488" s="39"/>
      <c r="N488" s="39"/>
    </row>
    <row r="489" spans="1:48" ht="12.75">
      <c r="A489" s="59" t="s">
        <v>761</v>
      </c>
      <c r="B489" s="59" t="s">
        <v>1141</v>
      </c>
      <c r="C489" s="59" t="s">
        <v>1696</v>
      </c>
      <c r="D489" s="59" t="s">
        <v>146</v>
      </c>
      <c r="E489" s="60">
        <v>26.3</v>
      </c>
      <c r="F489" s="61"/>
      <c r="G489" s="61">
        <f>E489*AE489</f>
        <v>0</v>
      </c>
      <c r="H489" s="61">
        <f>I489-G489</f>
        <v>0</v>
      </c>
      <c r="I489" s="61">
        <f>E489*F489</f>
        <v>0</v>
      </c>
      <c r="J489" s="61">
        <v>0.00086</v>
      </c>
      <c r="K489" s="61">
        <f>E489*J489</f>
        <v>0.022618</v>
      </c>
      <c r="L489" s="62" t="s">
        <v>170</v>
      </c>
      <c r="M489" s="39"/>
      <c r="N489" s="39"/>
      <c r="P489" s="11">
        <f>IF(AG489="5",I489,0)</f>
        <v>0</v>
      </c>
      <c r="R489" s="11">
        <f>IF(AG489="1",G489,0)</f>
        <v>0</v>
      </c>
      <c r="S489" s="11">
        <f>IF(AG489="1",H489,0)</f>
        <v>0</v>
      </c>
      <c r="T489" s="11">
        <f>IF(AG489="7",G489,0)</f>
        <v>0</v>
      </c>
      <c r="U489" s="11">
        <f>IF(AG489="7",H489,0)</f>
        <v>0</v>
      </c>
      <c r="V489" s="11">
        <f>IF(AG489="2",G489,0)</f>
        <v>0</v>
      </c>
      <c r="W489" s="11">
        <f>IF(AG489="2",H489,0)</f>
        <v>0</v>
      </c>
      <c r="X489" s="11">
        <f>IF(AG489="0",I489,0)</f>
        <v>0</v>
      </c>
      <c r="Y489" s="6"/>
      <c r="Z489" s="4">
        <f>IF(AD489=0,I489,0)</f>
        <v>0</v>
      </c>
      <c r="AA489" s="4">
        <f>IF(AD489=15,I489,0)</f>
        <v>0</v>
      </c>
      <c r="AB489" s="4">
        <f>IF(AD489=21,I489,0)</f>
        <v>0</v>
      </c>
      <c r="AD489" s="11">
        <v>21</v>
      </c>
      <c r="AE489" s="11">
        <f>F489*0.0877598152424942</f>
        <v>0</v>
      </c>
      <c r="AF489" s="11">
        <f>F489*(1-0.0877598152424942)</f>
        <v>0</v>
      </c>
      <c r="AG489" s="7" t="s">
        <v>504</v>
      </c>
      <c r="AM489" s="11">
        <f>E489*AE489</f>
        <v>0</v>
      </c>
      <c r="AN489" s="11">
        <f>E489*AF489</f>
        <v>0</v>
      </c>
      <c r="AO489" s="12" t="s">
        <v>204</v>
      </c>
      <c r="AP489" s="12" t="s">
        <v>229</v>
      </c>
      <c r="AQ489" s="6" t="s">
        <v>234</v>
      </c>
      <c r="AS489" s="11">
        <f>AM489+AN489</f>
        <v>0</v>
      </c>
      <c r="AT489" s="11">
        <f>F489/(100-AU489)*100</f>
        <v>0</v>
      </c>
      <c r="AU489" s="11">
        <v>0</v>
      </c>
      <c r="AV489" s="11">
        <f>K489</f>
        <v>0.022618</v>
      </c>
    </row>
    <row r="490" spans="1:14" ht="12.75">
      <c r="A490" s="39"/>
      <c r="B490" s="39"/>
      <c r="C490" s="63" t="s">
        <v>1697</v>
      </c>
      <c r="D490" s="39"/>
      <c r="E490" s="64">
        <v>20.8</v>
      </c>
      <c r="F490" s="39"/>
      <c r="G490" s="39"/>
      <c r="H490" s="39"/>
      <c r="I490" s="39"/>
      <c r="J490" s="39"/>
      <c r="K490" s="39"/>
      <c r="L490" s="39"/>
      <c r="M490" s="39"/>
      <c r="N490" s="39"/>
    </row>
    <row r="491" spans="1:14" ht="12.75">
      <c r="A491" s="39"/>
      <c r="B491" s="39"/>
      <c r="C491" s="63" t="s">
        <v>1698</v>
      </c>
      <c r="D491" s="39"/>
      <c r="E491" s="64">
        <v>5.5</v>
      </c>
      <c r="F491" s="39"/>
      <c r="G491" s="39"/>
      <c r="H491" s="39"/>
      <c r="I491" s="39"/>
      <c r="J491" s="39"/>
      <c r="K491" s="39"/>
      <c r="L491" s="39"/>
      <c r="M491" s="39"/>
      <c r="N491" s="39"/>
    </row>
    <row r="492" spans="1:48" ht="12.75">
      <c r="A492" s="70" t="s">
        <v>762</v>
      </c>
      <c r="B492" s="70" t="s">
        <v>1138</v>
      </c>
      <c r="C492" s="70" t="s">
        <v>1699</v>
      </c>
      <c r="D492" s="70" t="s">
        <v>142</v>
      </c>
      <c r="E492" s="71">
        <v>6.628</v>
      </c>
      <c r="F492" s="72"/>
      <c r="G492" s="72">
        <f>E492*AE492</f>
        <v>0</v>
      </c>
      <c r="H492" s="72">
        <f>I492-G492</f>
        <v>0</v>
      </c>
      <c r="I492" s="72">
        <f>E492*F492</f>
        <v>0</v>
      </c>
      <c r="J492" s="72">
        <v>0.00193</v>
      </c>
      <c r="K492" s="72">
        <f>E492*J492</f>
        <v>0.012792040000000001</v>
      </c>
      <c r="L492" s="73" t="s">
        <v>170</v>
      </c>
      <c r="M492" s="39"/>
      <c r="N492" s="39"/>
      <c r="P492" s="11">
        <f>IF(AG492="5",I492,0)</f>
        <v>0</v>
      </c>
      <c r="R492" s="11">
        <f>IF(AG492="1",G492,0)</f>
        <v>0</v>
      </c>
      <c r="S492" s="11">
        <f>IF(AG492="1",H492,0)</f>
        <v>0</v>
      </c>
      <c r="T492" s="11">
        <f>IF(AG492="7",G492,0)</f>
        <v>0</v>
      </c>
      <c r="U492" s="11">
        <f>IF(AG492="7",H492,0)</f>
        <v>0</v>
      </c>
      <c r="V492" s="11">
        <f>IF(AG492="2",G492,0)</f>
        <v>0</v>
      </c>
      <c r="W492" s="11">
        <f>IF(AG492="2",H492,0)</f>
        <v>0</v>
      </c>
      <c r="X492" s="11">
        <f>IF(AG492="0",I492,0)</f>
        <v>0</v>
      </c>
      <c r="Y492" s="6"/>
      <c r="Z492" s="5">
        <f>IF(AD492=0,I492,0)</f>
        <v>0</v>
      </c>
      <c r="AA492" s="5">
        <f>IF(AD492=15,I492,0)</f>
        <v>0</v>
      </c>
      <c r="AB492" s="5">
        <f>IF(AD492=21,I492,0)</f>
        <v>0</v>
      </c>
      <c r="AD492" s="11">
        <v>21</v>
      </c>
      <c r="AE492" s="11">
        <f>F492*1</f>
        <v>0</v>
      </c>
      <c r="AF492" s="11">
        <f>F492*(1-1)</f>
        <v>0</v>
      </c>
      <c r="AG492" s="8" t="s">
        <v>504</v>
      </c>
      <c r="AM492" s="11">
        <f>E492*AE492</f>
        <v>0</v>
      </c>
      <c r="AN492" s="11">
        <f>E492*AF492</f>
        <v>0</v>
      </c>
      <c r="AO492" s="12" t="s">
        <v>204</v>
      </c>
      <c r="AP492" s="12" t="s">
        <v>229</v>
      </c>
      <c r="AQ492" s="6" t="s">
        <v>234</v>
      </c>
      <c r="AS492" s="11">
        <f>AM492+AN492</f>
        <v>0</v>
      </c>
      <c r="AT492" s="11">
        <f>F492/(100-AU492)*100</f>
        <v>0</v>
      </c>
      <c r="AU492" s="11">
        <v>0</v>
      </c>
      <c r="AV492" s="11">
        <f>K492</f>
        <v>0.012792040000000001</v>
      </c>
    </row>
    <row r="493" spans="1:14" ht="12.75">
      <c r="A493" s="39"/>
      <c r="B493" s="39"/>
      <c r="C493" s="63" t="s">
        <v>1700</v>
      </c>
      <c r="D493" s="39"/>
      <c r="E493" s="64">
        <v>6.575</v>
      </c>
      <c r="F493" s="39"/>
      <c r="G493" s="39"/>
      <c r="H493" s="39"/>
      <c r="I493" s="39"/>
      <c r="J493" s="39"/>
      <c r="K493" s="39"/>
      <c r="L493" s="39"/>
      <c r="M493" s="39"/>
      <c r="N493" s="39"/>
    </row>
    <row r="494" spans="1:14" ht="12.75">
      <c r="A494" s="39"/>
      <c r="B494" s="39"/>
      <c r="C494" s="63" t="s">
        <v>1701</v>
      </c>
      <c r="D494" s="39"/>
      <c r="E494" s="64">
        <v>0.053</v>
      </c>
      <c r="F494" s="39"/>
      <c r="G494" s="39"/>
      <c r="H494" s="39"/>
      <c r="I494" s="39"/>
      <c r="J494" s="39"/>
      <c r="K494" s="39"/>
      <c r="L494" s="39"/>
      <c r="M494" s="39"/>
      <c r="N494" s="39"/>
    </row>
    <row r="495" spans="1:48" ht="12.75">
      <c r="A495" s="59" t="s">
        <v>763</v>
      </c>
      <c r="B495" s="59" t="s">
        <v>1139</v>
      </c>
      <c r="C495" s="59" t="s">
        <v>1702</v>
      </c>
      <c r="D495" s="59" t="s">
        <v>146</v>
      </c>
      <c r="E495" s="60">
        <v>14.5</v>
      </c>
      <c r="F495" s="61"/>
      <c r="G495" s="61">
        <f>E495*AE495</f>
        <v>0</v>
      </c>
      <c r="H495" s="61">
        <f>I495-G495</f>
        <v>0</v>
      </c>
      <c r="I495" s="61">
        <f>E495*F495</f>
        <v>0</v>
      </c>
      <c r="J495" s="61">
        <v>0.00086</v>
      </c>
      <c r="K495" s="61">
        <f>E495*J495</f>
        <v>0.01247</v>
      </c>
      <c r="L495" s="62" t="s">
        <v>170</v>
      </c>
      <c r="M495" s="39"/>
      <c r="N495" s="39"/>
      <c r="P495" s="11">
        <f>IF(AG495="5",I495,0)</f>
        <v>0</v>
      </c>
      <c r="R495" s="11">
        <f>IF(AG495="1",G495,0)</f>
        <v>0</v>
      </c>
      <c r="S495" s="11">
        <f>IF(AG495="1",H495,0)</f>
        <v>0</v>
      </c>
      <c r="T495" s="11">
        <f>IF(AG495="7",G495,0)</f>
        <v>0</v>
      </c>
      <c r="U495" s="11">
        <f>IF(AG495="7",H495,0)</f>
        <v>0</v>
      </c>
      <c r="V495" s="11">
        <f>IF(AG495="2",G495,0)</f>
        <v>0</v>
      </c>
      <c r="W495" s="11">
        <f>IF(AG495="2",H495,0)</f>
        <v>0</v>
      </c>
      <c r="X495" s="11">
        <f>IF(AG495="0",I495,0)</f>
        <v>0</v>
      </c>
      <c r="Y495" s="6"/>
      <c r="Z495" s="4">
        <f>IF(AD495=0,I495,0)</f>
        <v>0</v>
      </c>
      <c r="AA495" s="4">
        <f>IF(AD495=15,I495,0)</f>
        <v>0</v>
      </c>
      <c r="AB495" s="4">
        <f>IF(AD495=21,I495,0)</f>
        <v>0</v>
      </c>
      <c r="AD495" s="11">
        <v>21</v>
      </c>
      <c r="AE495" s="11">
        <f>F495*0.0962613467357301</f>
        <v>0</v>
      </c>
      <c r="AF495" s="11">
        <f>F495*(1-0.0962613467357301)</f>
        <v>0</v>
      </c>
      <c r="AG495" s="7" t="s">
        <v>504</v>
      </c>
      <c r="AM495" s="11">
        <f>E495*AE495</f>
        <v>0</v>
      </c>
      <c r="AN495" s="11">
        <f>E495*AF495</f>
        <v>0</v>
      </c>
      <c r="AO495" s="12" t="s">
        <v>204</v>
      </c>
      <c r="AP495" s="12" t="s">
        <v>229</v>
      </c>
      <c r="AQ495" s="6" t="s">
        <v>234</v>
      </c>
      <c r="AS495" s="11">
        <f>AM495+AN495</f>
        <v>0</v>
      </c>
      <c r="AT495" s="11">
        <f>F495/(100-AU495)*100</f>
        <v>0</v>
      </c>
      <c r="AU495" s="11">
        <v>0</v>
      </c>
      <c r="AV495" s="11">
        <f>K495</f>
        <v>0.01247</v>
      </c>
    </row>
    <row r="496" spans="1:14" ht="12.75">
      <c r="A496" s="39"/>
      <c r="B496" s="39"/>
      <c r="C496" s="63" t="s">
        <v>1703</v>
      </c>
      <c r="D496" s="39"/>
      <c r="E496" s="64">
        <v>14.5</v>
      </c>
      <c r="F496" s="39"/>
      <c r="G496" s="39"/>
      <c r="H496" s="39"/>
      <c r="I496" s="39"/>
      <c r="J496" s="39"/>
      <c r="K496" s="39"/>
      <c r="L496" s="39"/>
      <c r="M496" s="39"/>
      <c r="N496" s="39"/>
    </row>
    <row r="497" spans="1:48" ht="12.75">
      <c r="A497" s="70" t="s">
        <v>764</v>
      </c>
      <c r="B497" s="70" t="s">
        <v>1138</v>
      </c>
      <c r="C497" s="70" t="s">
        <v>1687</v>
      </c>
      <c r="D497" s="70" t="s">
        <v>142</v>
      </c>
      <c r="E497" s="71">
        <v>3.915</v>
      </c>
      <c r="F497" s="72"/>
      <c r="G497" s="72">
        <f>E497*AE497</f>
        <v>0</v>
      </c>
      <c r="H497" s="72">
        <f>I497-G497</f>
        <v>0</v>
      </c>
      <c r="I497" s="72">
        <f>E497*F497</f>
        <v>0</v>
      </c>
      <c r="J497" s="72">
        <v>0.00193</v>
      </c>
      <c r="K497" s="72">
        <f>E497*J497</f>
        <v>0.0075559500000000005</v>
      </c>
      <c r="L497" s="73" t="s">
        <v>170</v>
      </c>
      <c r="M497" s="39"/>
      <c r="N497" s="39"/>
      <c r="P497" s="11">
        <f>IF(AG497="5",I497,0)</f>
        <v>0</v>
      </c>
      <c r="R497" s="11">
        <f>IF(AG497="1",G497,0)</f>
        <v>0</v>
      </c>
      <c r="S497" s="11">
        <f>IF(AG497="1",H497,0)</f>
        <v>0</v>
      </c>
      <c r="T497" s="11">
        <f>IF(AG497="7",G497,0)</f>
        <v>0</v>
      </c>
      <c r="U497" s="11">
        <f>IF(AG497="7",H497,0)</f>
        <v>0</v>
      </c>
      <c r="V497" s="11">
        <f>IF(AG497="2",G497,0)</f>
        <v>0</v>
      </c>
      <c r="W497" s="11">
        <f>IF(AG497="2",H497,0)</f>
        <v>0</v>
      </c>
      <c r="X497" s="11">
        <f>IF(AG497="0",I497,0)</f>
        <v>0</v>
      </c>
      <c r="Y497" s="6"/>
      <c r="Z497" s="5">
        <f>IF(AD497=0,I497,0)</f>
        <v>0</v>
      </c>
      <c r="AA497" s="5">
        <f>IF(AD497=15,I497,0)</f>
        <v>0</v>
      </c>
      <c r="AB497" s="5">
        <f>IF(AD497=21,I497,0)</f>
        <v>0</v>
      </c>
      <c r="AD497" s="11">
        <v>21</v>
      </c>
      <c r="AE497" s="11">
        <f>F497*1</f>
        <v>0</v>
      </c>
      <c r="AF497" s="11">
        <f>F497*(1-1)</f>
        <v>0</v>
      </c>
      <c r="AG497" s="8" t="s">
        <v>504</v>
      </c>
      <c r="AM497" s="11">
        <f>E497*AE497</f>
        <v>0</v>
      </c>
      <c r="AN497" s="11">
        <f>E497*AF497</f>
        <v>0</v>
      </c>
      <c r="AO497" s="12" t="s">
        <v>204</v>
      </c>
      <c r="AP497" s="12" t="s">
        <v>229</v>
      </c>
      <c r="AQ497" s="6" t="s">
        <v>234</v>
      </c>
      <c r="AS497" s="11">
        <f>AM497+AN497</f>
        <v>0</v>
      </c>
      <c r="AT497" s="11">
        <f>F497/(100-AU497)*100</f>
        <v>0</v>
      </c>
      <c r="AU497" s="11">
        <v>0</v>
      </c>
      <c r="AV497" s="11">
        <f>K497</f>
        <v>0.0075559500000000005</v>
      </c>
    </row>
    <row r="498" spans="1:14" ht="12.75">
      <c r="A498" s="39"/>
      <c r="B498" s="39"/>
      <c r="C498" s="63" t="s">
        <v>1704</v>
      </c>
      <c r="D498" s="39"/>
      <c r="E498" s="64">
        <v>3.625</v>
      </c>
      <c r="F498" s="39"/>
      <c r="G498" s="39"/>
      <c r="H498" s="39"/>
      <c r="I498" s="39"/>
      <c r="J498" s="39"/>
      <c r="K498" s="39"/>
      <c r="L498" s="39"/>
      <c r="M498" s="39"/>
      <c r="N498" s="39"/>
    </row>
    <row r="499" spans="1:14" ht="12.75">
      <c r="A499" s="39"/>
      <c r="B499" s="39"/>
      <c r="C499" s="63" t="s">
        <v>1705</v>
      </c>
      <c r="D499" s="39"/>
      <c r="E499" s="64">
        <v>0.29</v>
      </c>
      <c r="F499" s="39"/>
      <c r="G499" s="39"/>
      <c r="H499" s="39"/>
      <c r="I499" s="39"/>
      <c r="J499" s="39"/>
      <c r="K499" s="39"/>
      <c r="L499" s="39"/>
      <c r="M499" s="39"/>
      <c r="N499" s="39"/>
    </row>
    <row r="500" spans="1:48" ht="12.75">
      <c r="A500" s="59" t="s">
        <v>765</v>
      </c>
      <c r="B500" s="59" t="s">
        <v>1142</v>
      </c>
      <c r="C500" s="59" t="s">
        <v>1706</v>
      </c>
      <c r="D500" s="59" t="s">
        <v>143</v>
      </c>
      <c r="E500" s="60">
        <v>0.25</v>
      </c>
      <c r="F500" s="61"/>
      <c r="G500" s="61">
        <f>E500*AE500</f>
        <v>0</v>
      </c>
      <c r="H500" s="61">
        <f>I500-G500</f>
        <v>0</v>
      </c>
      <c r="I500" s="61">
        <f>E500*F500</f>
        <v>0</v>
      </c>
      <c r="J500" s="61">
        <v>0</v>
      </c>
      <c r="K500" s="61">
        <f>E500*J500</f>
        <v>0</v>
      </c>
      <c r="L500" s="62" t="s">
        <v>170</v>
      </c>
      <c r="M500" s="39"/>
      <c r="N500" s="39"/>
      <c r="P500" s="11">
        <f>IF(AG500="5",I500,0)</f>
        <v>0</v>
      </c>
      <c r="R500" s="11">
        <f>IF(AG500="1",G500,0)</f>
        <v>0</v>
      </c>
      <c r="S500" s="11">
        <f>IF(AG500="1",H500,0)</f>
        <v>0</v>
      </c>
      <c r="T500" s="11">
        <f>IF(AG500="7",G500,0)</f>
        <v>0</v>
      </c>
      <c r="U500" s="11">
        <f>IF(AG500="7",H500,0)</f>
        <v>0</v>
      </c>
      <c r="V500" s="11">
        <f>IF(AG500="2",G500,0)</f>
        <v>0</v>
      </c>
      <c r="W500" s="11">
        <f>IF(AG500="2",H500,0)</f>
        <v>0</v>
      </c>
      <c r="X500" s="11">
        <f>IF(AG500="0",I500,0)</f>
        <v>0</v>
      </c>
      <c r="Y500" s="6"/>
      <c r="Z500" s="4">
        <f>IF(AD500=0,I500,0)</f>
        <v>0</v>
      </c>
      <c r="AA500" s="4">
        <f>IF(AD500=15,I500,0)</f>
        <v>0</v>
      </c>
      <c r="AB500" s="4">
        <f>IF(AD500=21,I500,0)</f>
        <v>0</v>
      </c>
      <c r="AD500" s="11">
        <v>21</v>
      </c>
      <c r="AE500" s="11">
        <f>F500*0</f>
        <v>0</v>
      </c>
      <c r="AF500" s="11">
        <f>F500*(1-0)</f>
        <v>0</v>
      </c>
      <c r="AG500" s="7" t="s">
        <v>502</v>
      </c>
      <c r="AM500" s="11">
        <f>E500*AE500</f>
        <v>0</v>
      </c>
      <c r="AN500" s="11">
        <f>E500*AF500</f>
        <v>0</v>
      </c>
      <c r="AO500" s="12" t="s">
        <v>204</v>
      </c>
      <c r="AP500" s="12" t="s">
        <v>229</v>
      </c>
      <c r="AQ500" s="6" t="s">
        <v>234</v>
      </c>
      <c r="AS500" s="11">
        <f>AM500+AN500</f>
        <v>0</v>
      </c>
      <c r="AT500" s="11">
        <f>F500/(100-AU500)*100</f>
        <v>0</v>
      </c>
      <c r="AU500" s="11">
        <v>0</v>
      </c>
      <c r="AV500" s="11">
        <f>K500</f>
        <v>0</v>
      </c>
    </row>
    <row r="501" spans="1:37" ht="12.75">
      <c r="A501" s="66"/>
      <c r="B501" s="67" t="s">
        <v>1143</v>
      </c>
      <c r="C501" s="305" t="s">
        <v>1707</v>
      </c>
      <c r="D501" s="306"/>
      <c r="E501" s="306"/>
      <c r="F501" s="306"/>
      <c r="G501" s="68">
        <f>SUM(G502:G548)</f>
        <v>0</v>
      </c>
      <c r="H501" s="68">
        <f>SUM(H502:H548)</f>
        <v>0</v>
      </c>
      <c r="I501" s="68">
        <f>G501+H501</f>
        <v>0</v>
      </c>
      <c r="J501" s="69"/>
      <c r="K501" s="68">
        <f>SUM(K502:K548)</f>
        <v>2.29555</v>
      </c>
      <c r="L501" s="69"/>
      <c r="M501" s="39"/>
      <c r="N501" s="39"/>
      <c r="Y501" s="6"/>
      <c r="AI501" s="13">
        <f>SUM(Z502:Z548)</f>
        <v>0</v>
      </c>
      <c r="AJ501" s="13">
        <f>SUM(AA502:AA548)</f>
        <v>0</v>
      </c>
      <c r="AK501" s="13">
        <f>SUM(AB502:AB548)</f>
        <v>0</v>
      </c>
    </row>
    <row r="502" spans="1:48" ht="12.75">
      <c r="A502" s="59" t="s">
        <v>766</v>
      </c>
      <c r="B502" s="59" t="s">
        <v>1144</v>
      </c>
      <c r="C502" s="59" t="s">
        <v>1708</v>
      </c>
      <c r="D502" s="59" t="s">
        <v>144</v>
      </c>
      <c r="E502" s="60">
        <v>11</v>
      </c>
      <c r="F502" s="61"/>
      <c r="G502" s="61">
        <f>E502*AE502</f>
        <v>0</v>
      </c>
      <c r="H502" s="61">
        <f>I502-G502</f>
        <v>0</v>
      </c>
      <c r="I502" s="61">
        <f>E502*F502</f>
        <v>0</v>
      </c>
      <c r="J502" s="61">
        <v>0.00165</v>
      </c>
      <c r="K502" s="61">
        <f>E502*J502</f>
        <v>0.01815</v>
      </c>
      <c r="L502" s="62" t="s">
        <v>170</v>
      </c>
      <c r="M502" s="39"/>
      <c r="N502" s="39"/>
      <c r="P502" s="11">
        <f>IF(AG502="5",I502,0)</f>
        <v>0</v>
      </c>
      <c r="R502" s="11">
        <f>IF(AG502="1",G502,0)</f>
        <v>0</v>
      </c>
      <c r="S502" s="11">
        <f>IF(AG502="1",H502,0)</f>
        <v>0</v>
      </c>
      <c r="T502" s="11">
        <f>IF(AG502="7",G502,0)</f>
        <v>0</v>
      </c>
      <c r="U502" s="11">
        <f>IF(AG502="7",H502,0)</f>
        <v>0</v>
      </c>
      <c r="V502" s="11">
        <f>IF(AG502="2",G502,0)</f>
        <v>0</v>
      </c>
      <c r="W502" s="11">
        <f>IF(AG502="2",H502,0)</f>
        <v>0</v>
      </c>
      <c r="X502" s="11">
        <f>IF(AG502="0",I502,0)</f>
        <v>0</v>
      </c>
      <c r="Y502" s="6"/>
      <c r="Z502" s="4">
        <f>IF(AD502=0,I502,0)</f>
        <v>0</v>
      </c>
      <c r="AA502" s="4">
        <f>IF(AD502=15,I502,0)</f>
        <v>0</v>
      </c>
      <c r="AB502" s="4">
        <f>IF(AD502=21,I502,0)</f>
        <v>0</v>
      </c>
      <c r="AD502" s="11">
        <v>21</v>
      </c>
      <c r="AE502" s="11">
        <f>F502*0.146721569069856</f>
        <v>0</v>
      </c>
      <c r="AF502" s="11">
        <f>F502*(1-0.146721569069856)</f>
        <v>0</v>
      </c>
      <c r="AG502" s="7" t="s">
        <v>504</v>
      </c>
      <c r="AM502" s="11">
        <f>E502*AE502</f>
        <v>0</v>
      </c>
      <c r="AN502" s="11">
        <f>E502*AF502</f>
        <v>0</v>
      </c>
      <c r="AO502" s="12" t="s">
        <v>205</v>
      </c>
      <c r="AP502" s="12" t="s">
        <v>229</v>
      </c>
      <c r="AQ502" s="6" t="s">
        <v>234</v>
      </c>
      <c r="AS502" s="11">
        <f>AM502+AN502</f>
        <v>0</v>
      </c>
      <c r="AT502" s="11">
        <f>F502/(100-AU502)*100</f>
        <v>0</v>
      </c>
      <c r="AU502" s="11">
        <v>0</v>
      </c>
      <c r="AV502" s="11">
        <f>K502</f>
        <v>0.01815</v>
      </c>
    </row>
    <row r="503" spans="1:14" ht="12.75">
      <c r="A503" s="39"/>
      <c r="B503" s="39"/>
      <c r="C503" s="63" t="s">
        <v>508</v>
      </c>
      <c r="D503" s="39"/>
      <c r="E503" s="64">
        <v>11</v>
      </c>
      <c r="F503" s="39"/>
      <c r="G503" s="39"/>
      <c r="H503" s="39"/>
      <c r="I503" s="39"/>
      <c r="J503" s="39"/>
      <c r="K503" s="39"/>
      <c r="L503" s="39"/>
      <c r="M503" s="39"/>
      <c r="N503" s="39"/>
    </row>
    <row r="504" spans="1:48" ht="12.75">
      <c r="A504" s="70" t="s">
        <v>767</v>
      </c>
      <c r="B504" s="70" t="s">
        <v>1145</v>
      </c>
      <c r="C504" s="70" t="s">
        <v>1709</v>
      </c>
      <c r="D504" s="70" t="s">
        <v>144</v>
      </c>
      <c r="E504" s="71">
        <v>11</v>
      </c>
      <c r="F504" s="72"/>
      <c r="G504" s="72">
        <f>E504*AE504</f>
        <v>0</v>
      </c>
      <c r="H504" s="72">
        <f>I504-G504</f>
        <v>0</v>
      </c>
      <c r="I504" s="72">
        <f>E504*F504</f>
        <v>0</v>
      </c>
      <c r="J504" s="72">
        <v>0.062</v>
      </c>
      <c r="K504" s="72">
        <f>E504*J504</f>
        <v>0.6819999999999999</v>
      </c>
      <c r="L504" s="73" t="s">
        <v>170</v>
      </c>
      <c r="M504" s="39"/>
      <c r="N504" s="39"/>
      <c r="P504" s="11">
        <f>IF(AG504="5",I504,0)</f>
        <v>0</v>
      </c>
      <c r="R504" s="11">
        <f>IF(AG504="1",G504,0)</f>
        <v>0</v>
      </c>
      <c r="S504" s="11">
        <f>IF(AG504="1",H504,0)</f>
        <v>0</v>
      </c>
      <c r="T504" s="11">
        <f>IF(AG504="7",G504,0)</f>
        <v>0</v>
      </c>
      <c r="U504" s="11">
        <f>IF(AG504="7",H504,0)</f>
        <v>0</v>
      </c>
      <c r="V504" s="11">
        <f>IF(AG504="2",G504,0)</f>
        <v>0</v>
      </c>
      <c r="W504" s="11">
        <f>IF(AG504="2",H504,0)</f>
        <v>0</v>
      </c>
      <c r="X504" s="11">
        <f>IF(AG504="0",I504,0)</f>
        <v>0</v>
      </c>
      <c r="Y504" s="6"/>
      <c r="Z504" s="5">
        <f>IF(AD504=0,I504,0)</f>
        <v>0</v>
      </c>
      <c r="AA504" s="5">
        <f>IF(AD504=15,I504,0)</f>
        <v>0</v>
      </c>
      <c r="AB504" s="5">
        <f>IF(AD504=21,I504,0)</f>
        <v>0</v>
      </c>
      <c r="AD504" s="11">
        <v>21</v>
      </c>
      <c r="AE504" s="11">
        <f>F504*1</f>
        <v>0</v>
      </c>
      <c r="AF504" s="11">
        <f>F504*(1-1)</f>
        <v>0</v>
      </c>
      <c r="AG504" s="8" t="s">
        <v>504</v>
      </c>
      <c r="AM504" s="11">
        <f>E504*AE504</f>
        <v>0</v>
      </c>
      <c r="AN504" s="11">
        <f>E504*AF504</f>
        <v>0</v>
      </c>
      <c r="AO504" s="12" t="s">
        <v>205</v>
      </c>
      <c r="AP504" s="12" t="s">
        <v>229</v>
      </c>
      <c r="AQ504" s="6" t="s">
        <v>234</v>
      </c>
      <c r="AS504" s="11">
        <f>AM504+AN504</f>
        <v>0</v>
      </c>
      <c r="AT504" s="11">
        <f>F504/(100-AU504)*100</f>
        <v>0</v>
      </c>
      <c r="AU504" s="11">
        <v>0</v>
      </c>
      <c r="AV504" s="11">
        <f>K504</f>
        <v>0.6819999999999999</v>
      </c>
    </row>
    <row r="505" spans="1:14" ht="12.75">
      <c r="A505" s="39"/>
      <c r="B505" s="39"/>
      <c r="C505" s="63" t="s">
        <v>1710</v>
      </c>
      <c r="D505" s="39"/>
      <c r="E505" s="64">
        <v>11</v>
      </c>
      <c r="F505" s="39"/>
      <c r="G505" s="39"/>
      <c r="H505" s="39"/>
      <c r="I505" s="39"/>
      <c r="J505" s="39"/>
      <c r="K505" s="39"/>
      <c r="L505" s="39"/>
      <c r="M505" s="39"/>
      <c r="N505" s="39"/>
    </row>
    <row r="506" spans="1:48" ht="12.75">
      <c r="A506" s="59" t="s">
        <v>768</v>
      </c>
      <c r="B506" s="59" t="s">
        <v>1146</v>
      </c>
      <c r="C506" s="59" t="s">
        <v>1711</v>
      </c>
      <c r="D506" s="59" t="s">
        <v>144</v>
      </c>
      <c r="E506" s="60">
        <v>2</v>
      </c>
      <c r="F506" s="61"/>
      <c r="G506" s="61">
        <f>E506*AE506</f>
        <v>0</v>
      </c>
      <c r="H506" s="61">
        <f>I506-G506</f>
        <v>0</v>
      </c>
      <c r="I506" s="61">
        <f>E506*F506</f>
        <v>0</v>
      </c>
      <c r="J506" s="61">
        <v>0.0012</v>
      </c>
      <c r="K506" s="61">
        <f>E506*J506</f>
        <v>0.0024</v>
      </c>
      <c r="L506" s="62" t="s">
        <v>170</v>
      </c>
      <c r="M506" s="39"/>
      <c r="N506" s="39"/>
      <c r="P506" s="11">
        <f>IF(AG506="5",I506,0)</f>
        <v>0</v>
      </c>
      <c r="R506" s="11">
        <f>IF(AG506="1",G506,0)</f>
        <v>0</v>
      </c>
      <c r="S506" s="11">
        <f>IF(AG506="1",H506,0)</f>
        <v>0</v>
      </c>
      <c r="T506" s="11">
        <f>IF(AG506="7",G506,0)</f>
        <v>0</v>
      </c>
      <c r="U506" s="11">
        <f>IF(AG506="7",H506,0)</f>
        <v>0</v>
      </c>
      <c r="V506" s="11">
        <f>IF(AG506="2",G506,0)</f>
        <v>0</v>
      </c>
      <c r="W506" s="11">
        <f>IF(AG506="2",H506,0)</f>
        <v>0</v>
      </c>
      <c r="X506" s="11">
        <f>IF(AG506="0",I506,0)</f>
        <v>0</v>
      </c>
      <c r="Y506" s="6"/>
      <c r="Z506" s="4">
        <f>IF(AD506=0,I506,0)</f>
        <v>0</v>
      </c>
      <c r="AA506" s="4">
        <f>IF(AD506=15,I506,0)</f>
        <v>0</v>
      </c>
      <c r="AB506" s="4">
        <f>IF(AD506=21,I506,0)</f>
        <v>0</v>
      </c>
      <c r="AD506" s="11">
        <v>21</v>
      </c>
      <c r="AE506" s="11">
        <f>F506*0.117141527001862</f>
        <v>0</v>
      </c>
      <c r="AF506" s="11">
        <f>F506*(1-0.117141527001862)</f>
        <v>0</v>
      </c>
      <c r="AG506" s="7" t="s">
        <v>504</v>
      </c>
      <c r="AM506" s="11">
        <f>E506*AE506</f>
        <v>0</v>
      </c>
      <c r="AN506" s="11">
        <f>E506*AF506</f>
        <v>0</v>
      </c>
      <c r="AO506" s="12" t="s">
        <v>205</v>
      </c>
      <c r="AP506" s="12" t="s">
        <v>229</v>
      </c>
      <c r="AQ506" s="6" t="s">
        <v>234</v>
      </c>
      <c r="AS506" s="11">
        <f>AM506+AN506</f>
        <v>0</v>
      </c>
      <c r="AT506" s="11">
        <f>F506/(100-AU506)*100</f>
        <v>0</v>
      </c>
      <c r="AU506" s="11">
        <v>0</v>
      </c>
      <c r="AV506" s="11">
        <f>K506</f>
        <v>0.0024</v>
      </c>
    </row>
    <row r="507" spans="1:14" ht="12.75">
      <c r="A507" s="39"/>
      <c r="B507" s="39"/>
      <c r="C507" s="63" t="s">
        <v>499</v>
      </c>
      <c r="D507" s="39"/>
      <c r="E507" s="64">
        <v>2</v>
      </c>
      <c r="F507" s="39"/>
      <c r="G507" s="39"/>
      <c r="H507" s="39"/>
      <c r="I507" s="39"/>
      <c r="J507" s="39"/>
      <c r="K507" s="39"/>
      <c r="L507" s="39"/>
      <c r="M507" s="39"/>
      <c r="N507" s="39"/>
    </row>
    <row r="508" spans="1:48" ht="12.75">
      <c r="A508" s="70" t="s">
        <v>769</v>
      </c>
      <c r="B508" s="70" t="s">
        <v>1147</v>
      </c>
      <c r="C508" s="70" t="s">
        <v>1712</v>
      </c>
      <c r="D508" s="70" t="s">
        <v>144</v>
      </c>
      <c r="E508" s="71">
        <v>2</v>
      </c>
      <c r="F508" s="72"/>
      <c r="G508" s="72">
        <f>E508*AE508</f>
        <v>0</v>
      </c>
      <c r="H508" s="72">
        <f>I508-G508</f>
        <v>0</v>
      </c>
      <c r="I508" s="72">
        <f>E508*F508</f>
        <v>0</v>
      </c>
      <c r="J508" s="72">
        <v>0.04</v>
      </c>
      <c r="K508" s="72">
        <f>E508*J508</f>
        <v>0.08</v>
      </c>
      <c r="L508" s="73" t="s">
        <v>170</v>
      </c>
      <c r="M508" s="39"/>
      <c r="N508" s="39"/>
      <c r="P508" s="11">
        <f>IF(AG508="5",I508,0)</f>
        <v>0</v>
      </c>
      <c r="R508" s="11">
        <f>IF(AG508="1",G508,0)</f>
        <v>0</v>
      </c>
      <c r="S508" s="11">
        <f>IF(AG508="1",H508,0)</f>
        <v>0</v>
      </c>
      <c r="T508" s="11">
        <f>IF(AG508="7",G508,0)</f>
        <v>0</v>
      </c>
      <c r="U508" s="11">
        <f>IF(AG508="7",H508,0)</f>
        <v>0</v>
      </c>
      <c r="V508" s="11">
        <f>IF(AG508="2",G508,0)</f>
        <v>0</v>
      </c>
      <c r="W508" s="11">
        <f>IF(AG508="2",H508,0)</f>
        <v>0</v>
      </c>
      <c r="X508" s="11">
        <f>IF(AG508="0",I508,0)</f>
        <v>0</v>
      </c>
      <c r="Y508" s="6"/>
      <c r="Z508" s="5">
        <f>IF(AD508=0,I508,0)</f>
        <v>0</v>
      </c>
      <c r="AA508" s="5">
        <f>IF(AD508=15,I508,0)</f>
        <v>0</v>
      </c>
      <c r="AB508" s="5">
        <f>IF(AD508=21,I508,0)</f>
        <v>0</v>
      </c>
      <c r="AD508" s="11">
        <v>21</v>
      </c>
      <c r="AE508" s="11">
        <f>F508*1</f>
        <v>0</v>
      </c>
      <c r="AF508" s="11">
        <f>F508*(1-1)</f>
        <v>0</v>
      </c>
      <c r="AG508" s="8" t="s">
        <v>504</v>
      </c>
      <c r="AM508" s="11">
        <f>E508*AE508</f>
        <v>0</v>
      </c>
      <c r="AN508" s="11">
        <f>E508*AF508</f>
        <v>0</v>
      </c>
      <c r="AO508" s="12" t="s">
        <v>205</v>
      </c>
      <c r="AP508" s="12" t="s">
        <v>229</v>
      </c>
      <c r="AQ508" s="6" t="s">
        <v>234</v>
      </c>
      <c r="AS508" s="11">
        <f>AM508+AN508</f>
        <v>0</v>
      </c>
      <c r="AT508" s="11">
        <f>F508/(100-AU508)*100</f>
        <v>0</v>
      </c>
      <c r="AU508" s="11">
        <v>0</v>
      </c>
      <c r="AV508" s="11">
        <f>K508</f>
        <v>0.08</v>
      </c>
    </row>
    <row r="509" spans="1:14" ht="12.75">
      <c r="A509" s="39"/>
      <c r="B509" s="39"/>
      <c r="C509" s="63" t="s">
        <v>499</v>
      </c>
      <c r="D509" s="39"/>
      <c r="E509" s="64">
        <v>2</v>
      </c>
      <c r="F509" s="39"/>
      <c r="G509" s="39"/>
      <c r="H509" s="39"/>
      <c r="I509" s="39"/>
      <c r="J509" s="39"/>
      <c r="K509" s="39"/>
      <c r="L509" s="39"/>
      <c r="M509" s="39"/>
      <c r="N509" s="39"/>
    </row>
    <row r="510" spans="1:48" ht="12.75">
      <c r="A510" s="59" t="s">
        <v>770</v>
      </c>
      <c r="B510" s="59" t="s">
        <v>1148</v>
      </c>
      <c r="C510" s="59" t="s">
        <v>1713</v>
      </c>
      <c r="D510" s="59" t="s">
        <v>144</v>
      </c>
      <c r="E510" s="60">
        <v>8</v>
      </c>
      <c r="F510" s="61"/>
      <c r="G510" s="61">
        <f>E510*AE510</f>
        <v>0</v>
      </c>
      <c r="H510" s="61">
        <f>I510-G510</f>
        <v>0</v>
      </c>
      <c r="I510" s="61">
        <f>E510*F510</f>
        <v>0</v>
      </c>
      <c r="J510" s="61">
        <v>0</v>
      </c>
      <c r="K510" s="61">
        <f>E510*J510</f>
        <v>0</v>
      </c>
      <c r="L510" s="62" t="s">
        <v>170</v>
      </c>
      <c r="M510" s="39"/>
      <c r="N510" s="39"/>
      <c r="P510" s="11">
        <f>IF(AG510="5",I510,0)</f>
        <v>0</v>
      </c>
      <c r="R510" s="11">
        <f>IF(AG510="1",G510,0)</f>
        <v>0</v>
      </c>
      <c r="S510" s="11">
        <f>IF(AG510="1",H510,0)</f>
        <v>0</v>
      </c>
      <c r="T510" s="11">
        <f>IF(AG510="7",G510,0)</f>
        <v>0</v>
      </c>
      <c r="U510" s="11">
        <f>IF(AG510="7",H510,0)</f>
        <v>0</v>
      </c>
      <c r="V510" s="11">
        <f>IF(AG510="2",G510,0)</f>
        <v>0</v>
      </c>
      <c r="W510" s="11">
        <f>IF(AG510="2",H510,0)</f>
        <v>0</v>
      </c>
      <c r="X510" s="11">
        <f>IF(AG510="0",I510,0)</f>
        <v>0</v>
      </c>
      <c r="Y510" s="6"/>
      <c r="Z510" s="4">
        <f>IF(AD510=0,I510,0)</f>
        <v>0</v>
      </c>
      <c r="AA510" s="4">
        <f>IF(AD510=15,I510,0)</f>
        <v>0</v>
      </c>
      <c r="AB510" s="4">
        <f>IF(AD510=21,I510,0)</f>
        <v>0</v>
      </c>
      <c r="AD510" s="11">
        <v>21</v>
      </c>
      <c r="AE510" s="11">
        <f>F510*0</f>
        <v>0</v>
      </c>
      <c r="AF510" s="11">
        <f>F510*(1-0)</f>
        <v>0</v>
      </c>
      <c r="AG510" s="7" t="s">
        <v>504</v>
      </c>
      <c r="AM510" s="11">
        <f>E510*AE510</f>
        <v>0</v>
      </c>
      <c r="AN510" s="11">
        <f>E510*AF510</f>
        <v>0</v>
      </c>
      <c r="AO510" s="12" t="s">
        <v>205</v>
      </c>
      <c r="AP510" s="12" t="s">
        <v>229</v>
      </c>
      <c r="AQ510" s="6" t="s">
        <v>234</v>
      </c>
      <c r="AS510" s="11">
        <f>AM510+AN510</f>
        <v>0</v>
      </c>
      <c r="AT510" s="11">
        <f>F510/(100-AU510)*100</f>
        <v>0</v>
      </c>
      <c r="AU510" s="11">
        <v>0</v>
      </c>
      <c r="AV510" s="11">
        <f>K510</f>
        <v>0</v>
      </c>
    </row>
    <row r="511" spans="1:14" ht="12.75">
      <c r="A511" s="39"/>
      <c r="B511" s="39"/>
      <c r="C511" s="63" t="s">
        <v>505</v>
      </c>
      <c r="D511" s="39"/>
      <c r="E511" s="64">
        <v>8</v>
      </c>
      <c r="F511" s="39"/>
      <c r="G511" s="39"/>
      <c r="H511" s="39"/>
      <c r="I511" s="39"/>
      <c r="J511" s="39"/>
      <c r="K511" s="39"/>
      <c r="L511" s="39"/>
      <c r="M511" s="39"/>
      <c r="N511" s="39"/>
    </row>
    <row r="512" spans="1:48" ht="12.75">
      <c r="A512" s="70" t="s">
        <v>771</v>
      </c>
      <c r="B512" s="70" t="s">
        <v>1149</v>
      </c>
      <c r="C512" s="70" t="s">
        <v>1714</v>
      </c>
      <c r="D512" s="70" t="s">
        <v>144</v>
      </c>
      <c r="E512" s="71">
        <v>4</v>
      </c>
      <c r="F512" s="72"/>
      <c r="G512" s="72">
        <f>E512*AE512</f>
        <v>0</v>
      </c>
      <c r="H512" s="72">
        <f>I512-G512</f>
        <v>0</v>
      </c>
      <c r="I512" s="72">
        <f>E512*F512</f>
        <v>0</v>
      </c>
      <c r="J512" s="72">
        <v>0.0145</v>
      </c>
      <c r="K512" s="72">
        <f>E512*J512</f>
        <v>0.058</v>
      </c>
      <c r="L512" s="73" t="s">
        <v>170</v>
      </c>
      <c r="M512" s="39"/>
      <c r="N512" s="39"/>
      <c r="P512" s="11">
        <f>IF(AG512="5",I512,0)</f>
        <v>0</v>
      </c>
      <c r="R512" s="11">
        <f>IF(AG512="1",G512,0)</f>
        <v>0</v>
      </c>
      <c r="S512" s="11">
        <f>IF(AG512="1",H512,0)</f>
        <v>0</v>
      </c>
      <c r="T512" s="11">
        <f>IF(AG512="7",G512,0)</f>
        <v>0</v>
      </c>
      <c r="U512" s="11">
        <f>IF(AG512="7",H512,0)</f>
        <v>0</v>
      </c>
      <c r="V512" s="11">
        <f>IF(AG512="2",G512,0)</f>
        <v>0</v>
      </c>
      <c r="W512" s="11">
        <f>IF(AG512="2",H512,0)</f>
        <v>0</v>
      </c>
      <c r="X512" s="11">
        <f>IF(AG512="0",I512,0)</f>
        <v>0</v>
      </c>
      <c r="Y512" s="6"/>
      <c r="Z512" s="5">
        <f>IF(AD512=0,I512,0)</f>
        <v>0</v>
      </c>
      <c r="AA512" s="5">
        <f>IF(AD512=15,I512,0)</f>
        <v>0</v>
      </c>
      <c r="AB512" s="5">
        <f>IF(AD512=21,I512,0)</f>
        <v>0</v>
      </c>
      <c r="AD512" s="11">
        <v>21</v>
      </c>
      <c r="AE512" s="11">
        <f>F512*1</f>
        <v>0</v>
      </c>
      <c r="AF512" s="11">
        <f>F512*(1-1)</f>
        <v>0</v>
      </c>
      <c r="AG512" s="8" t="s">
        <v>504</v>
      </c>
      <c r="AM512" s="11">
        <f>E512*AE512</f>
        <v>0</v>
      </c>
      <c r="AN512" s="11">
        <f>E512*AF512</f>
        <v>0</v>
      </c>
      <c r="AO512" s="12" t="s">
        <v>205</v>
      </c>
      <c r="AP512" s="12" t="s">
        <v>229</v>
      </c>
      <c r="AQ512" s="6" t="s">
        <v>234</v>
      </c>
      <c r="AS512" s="11">
        <f>AM512+AN512</f>
        <v>0</v>
      </c>
      <c r="AT512" s="11">
        <f>F512/(100-AU512)*100</f>
        <v>0</v>
      </c>
      <c r="AU512" s="11">
        <v>0</v>
      </c>
      <c r="AV512" s="11">
        <f>K512</f>
        <v>0.058</v>
      </c>
    </row>
    <row r="513" spans="1:14" ht="12.75">
      <c r="A513" s="39"/>
      <c r="B513" s="39"/>
      <c r="C513" s="63" t="s">
        <v>501</v>
      </c>
      <c r="D513" s="39"/>
      <c r="E513" s="64">
        <v>4</v>
      </c>
      <c r="F513" s="39"/>
      <c r="G513" s="39"/>
      <c r="H513" s="39"/>
      <c r="I513" s="39"/>
      <c r="J513" s="39"/>
      <c r="K513" s="39"/>
      <c r="L513" s="39"/>
      <c r="M513" s="39"/>
      <c r="N513" s="39"/>
    </row>
    <row r="514" spans="1:48" ht="12.75">
      <c r="A514" s="70" t="s">
        <v>772</v>
      </c>
      <c r="B514" s="70" t="s">
        <v>1150</v>
      </c>
      <c r="C514" s="70" t="s">
        <v>1715</v>
      </c>
      <c r="D514" s="70" t="s">
        <v>144</v>
      </c>
      <c r="E514" s="71">
        <v>4</v>
      </c>
      <c r="F514" s="72"/>
      <c r="G514" s="72">
        <f>E514*AE514</f>
        <v>0</v>
      </c>
      <c r="H514" s="72">
        <f>I514-G514</f>
        <v>0</v>
      </c>
      <c r="I514" s="72">
        <f>E514*F514</f>
        <v>0</v>
      </c>
      <c r="J514" s="72">
        <v>0.016</v>
      </c>
      <c r="K514" s="72">
        <f>E514*J514</f>
        <v>0.064</v>
      </c>
      <c r="L514" s="73" t="s">
        <v>170</v>
      </c>
      <c r="M514" s="39"/>
      <c r="N514" s="39"/>
      <c r="P514" s="11">
        <f>IF(AG514="5",I514,0)</f>
        <v>0</v>
      </c>
      <c r="R514" s="11">
        <f>IF(AG514="1",G514,0)</f>
        <v>0</v>
      </c>
      <c r="S514" s="11">
        <f>IF(AG514="1",H514,0)</f>
        <v>0</v>
      </c>
      <c r="T514" s="11">
        <f>IF(AG514="7",G514,0)</f>
        <v>0</v>
      </c>
      <c r="U514" s="11">
        <f>IF(AG514="7",H514,0)</f>
        <v>0</v>
      </c>
      <c r="V514" s="11">
        <f>IF(AG514="2",G514,0)</f>
        <v>0</v>
      </c>
      <c r="W514" s="11">
        <f>IF(AG514="2",H514,0)</f>
        <v>0</v>
      </c>
      <c r="X514" s="11">
        <f>IF(AG514="0",I514,0)</f>
        <v>0</v>
      </c>
      <c r="Y514" s="6"/>
      <c r="Z514" s="5">
        <f>IF(AD514=0,I514,0)</f>
        <v>0</v>
      </c>
      <c r="AA514" s="5">
        <f>IF(AD514=15,I514,0)</f>
        <v>0</v>
      </c>
      <c r="AB514" s="5">
        <f>IF(AD514=21,I514,0)</f>
        <v>0</v>
      </c>
      <c r="AD514" s="11">
        <v>21</v>
      </c>
      <c r="AE514" s="11">
        <f>F514*1</f>
        <v>0</v>
      </c>
      <c r="AF514" s="11">
        <f>F514*(1-1)</f>
        <v>0</v>
      </c>
      <c r="AG514" s="8" t="s">
        <v>504</v>
      </c>
      <c r="AM514" s="11">
        <f>E514*AE514</f>
        <v>0</v>
      </c>
      <c r="AN514" s="11">
        <f>E514*AF514</f>
        <v>0</v>
      </c>
      <c r="AO514" s="12" t="s">
        <v>205</v>
      </c>
      <c r="AP514" s="12" t="s">
        <v>229</v>
      </c>
      <c r="AQ514" s="6" t="s">
        <v>234</v>
      </c>
      <c r="AS514" s="11">
        <f>AM514+AN514</f>
        <v>0</v>
      </c>
      <c r="AT514" s="11">
        <f>F514/(100-AU514)*100</f>
        <v>0</v>
      </c>
      <c r="AU514" s="11">
        <v>0</v>
      </c>
      <c r="AV514" s="11">
        <f>K514</f>
        <v>0.064</v>
      </c>
    </row>
    <row r="515" spans="1:14" ht="12.75">
      <c r="A515" s="39"/>
      <c r="B515" s="39"/>
      <c r="C515" s="63" t="s">
        <v>501</v>
      </c>
      <c r="D515" s="39"/>
      <c r="E515" s="64">
        <v>4</v>
      </c>
      <c r="F515" s="39"/>
      <c r="G515" s="39"/>
      <c r="H515" s="39"/>
      <c r="I515" s="39"/>
      <c r="J515" s="39"/>
      <c r="K515" s="39"/>
      <c r="L515" s="39"/>
      <c r="M515" s="39"/>
      <c r="N515" s="39"/>
    </row>
    <row r="516" spans="1:48" ht="12.75">
      <c r="A516" s="59" t="s">
        <v>773</v>
      </c>
      <c r="B516" s="59" t="s">
        <v>1151</v>
      </c>
      <c r="C516" s="59" t="s">
        <v>1716</v>
      </c>
      <c r="D516" s="59" t="s">
        <v>144</v>
      </c>
      <c r="E516" s="60">
        <v>3</v>
      </c>
      <c r="F516" s="61"/>
      <c r="G516" s="61">
        <f>E516*AE516</f>
        <v>0</v>
      </c>
      <c r="H516" s="61">
        <f>I516-G516</f>
        <v>0</v>
      </c>
      <c r="I516" s="61">
        <f>E516*F516</f>
        <v>0</v>
      </c>
      <c r="J516" s="61">
        <v>0</v>
      </c>
      <c r="K516" s="61">
        <f>E516*J516</f>
        <v>0</v>
      </c>
      <c r="L516" s="62" t="s">
        <v>170</v>
      </c>
      <c r="M516" s="39"/>
      <c r="N516" s="39"/>
      <c r="P516" s="11">
        <f>IF(AG516="5",I516,0)</f>
        <v>0</v>
      </c>
      <c r="R516" s="11">
        <f>IF(AG516="1",G516,0)</f>
        <v>0</v>
      </c>
      <c r="S516" s="11">
        <f>IF(AG516="1",H516,0)</f>
        <v>0</v>
      </c>
      <c r="T516" s="11">
        <f>IF(AG516="7",G516,0)</f>
        <v>0</v>
      </c>
      <c r="U516" s="11">
        <f>IF(AG516="7",H516,0)</f>
        <v>0</v>
      </c>
      <c r="V516" s="11">
        <f>IF(AG516="2",G516,0)</f>
        <v>0</v>
      </c>
      <c r="W516" s="11">
        <f>IF(AG516="2",H516,0)</f>
        <v>0</v>
      </c>
      <c r="X516" s="11">
        <f>IF(AG516="0",I516,0)</f>
        <v>0</v>
      </c>
      <c r="Y516" s="6"/>
      <c r="Z516" s="4">
        <f>IF(AD516=0,I516,0)</f>
        <v>0</v>
      </c>
      <c r="AA516" s="4">
        <f>IF(AD516=15,I516,0)</f>
        <v>0</v>
      </c>
      <c r="AB516" s="4">
        <f>IF(AD516=21,I516,0)</f>
        <v>0</v>
      </c>
      <c r="AD516" s="11">
        <v>21</v>
      </c>
      <c r="AE516" s="11">
        <f>F516*0</f>
        <v>0</v>
      </c>
      <c r="AF516" s="11">
        <f>F516*(1-0)</f>
        <v>0</v>
      </c>
      <c r="AG516" s="7" t="s">
        <v>504</v>
      </c>
      <c r="AM516" s="11">
        <f>E516*AE516</f>
        <v>0</v>
      </c>
      <c r="AN516" s="11">
        <f>E516*AF516</f>
        <v>0</v>
      </c>
      <c r="AO516" s="12" t="s">
        <v>205</v>
      </c>
      <c r="AP516" s="12" t="s">
        <v>229</v>
      </c>
      <c r="AQ516" s="6" t="s">
        <v>234</v>
      </c>
      <c r="AS516" s="11">
        <f>AM516+AN516</f>
        <v>0</v>
      </c>
      <c r="AT516" s="11">
        <f>F516/(100-AU516)*100</f>
        <v>0</v>
      </c>
      <c r="AU516" s="11">
        <v>0</v>
      </c>
      <c r="AV516" s="11">
        <f>K516</f>
        <v>0</v>
      </c>
    </row>
    <row r="517" spans="1:14" ht="12.75">
      <c r="A517" s="39"/>
      <c r="B517" s="39"/>
      <c r="C517" s="63" t="s">
        <v>500</v>
      </c>
      <c r="D517" s="39"/>
      <c r="E517" s="64">
        <v>3</v>
      </c>
      <c r="F517" s="39"/>
      <c r="G517" s="39"/>
      <c r="H517" s="39"/>
      <c r="I517" s="39"/>
      <c r="J517" s="39"/>
      <c r="K517" s="39"/>
      <c r="L517" s="39"/>
      <c r="M517" s="39"/>
      <c r="N517" s="39"/>
    </row>
    <row r="518" spans="1:48" ht="12.75">
      <c r="A518" s="70" t="s">
        <v>774</v>
      </c>
      <c r="B518" s="70" t="s">
        <v>1152</v>
      </c>
      <c r="C518" s="70" t="s">
        <v>1717</v>
      </c>
      <c r="D518" s="70" t="s">
        <v>144</v>
      </c>
      <c r="E518" s="71">
        <v>3</v>
      </c>
      <c r="F518" s="72"/>
      <c r="G518" s="72">
        <f>E518*AE518</f>
        <v>0</v>
      </c>
      <c r="H518" s="72">
        <f>I518-G518</f>
        <v>0</v>
      </c>
      <c r="I518" s="72">
        <f>E518*F518</f>
        <v>0</v>
      </c>
      <c r="J518" s="72">
        <v>0.017</v>
      </c>
      <c r="K518" s="72">
        <f>E518*J518</f>
        <v>0.051000000000000004</v>
      </c>
      <c r="L518" s="73" t="s">
        <v>170</v>
      </c>
      <c r="M518" s="39"/>
      <c r="N518" s="39"/>
      <c r="P518" s="11">
        <f>IF(AG518="5",I518,0)</f>
        <v>0</v>
      </c>
      <c r="R518" s="11">
        <f>IF(AG518="1",G518,0)</f>
        <v>0</v>
      </c>
      <c r="S518" s="11">
        <f>IF(AG518="1",H518,0)</f>
        <v>0</v>
      </c>
      <c r="T518" s="11">
        <f>IF(AG518="7",G518,0)</f>
        <v>0</v>
      </c>
      <c r="U518" s="11">
        <f>IF(AG518="7",H518,0)</f>
        <v>0</v>
      </c>
      <c r="V518" s="11">
        <f>IF(AG518="2",G518,0)</f>
        <v>0</v>
      </c>
      <c r="W518" s="11">
        <f>IF(AG518="2",H518,0)</f>
        <v>0</v>
      </c>
      <c r="X518" s="11">
        <f>IF(AG518="0",I518,0)</f>
        <v>0</v>
      </c>
      <c r="Y518" s="6"/>
      <c r="Z518" s="5">
        <f>IF(AD518=0,I518,0)</f>
        <v>0</v>
      </c>
      <c r="AA518" s="5">
        <f>IF(AD518=15,I518,0)</f>
        <v>0</v>
      </c>
      <c r="AB518" s="5">
        <f>IF(AD518=21,I518,0)</f>
        <v>0</v>
      </c>
      <c r="AD518" s="11">
        <v>21</v>
      </c>
      <c r="AE518" s="11">
        <f>F518*1</f>
        <v>0</v>
      </c>
      <c r="AF518" s="11">
        <f>F518*(1-1)</f>
        <v>0</v>
      </c>
      <c r="AG518" s="8" t="s">
        <v>504</v>
      </c>
      <c r="AM518" s="11">
        <f>E518*AE518</f>
        <v>0</v>
      </c>
      <c r="AN518" s="11">
        <f>E518*AF518</f>
        <v>0</v>
      </c>
      <c r="AO518" s="12" t="s">
        <v>205</v>
      </c>
      <c r="AP518" s="12" t="s">
        <v>229</v>
      </c>
      <c r="AQ518" s="6" t="s">
        <v>234</v>
      </c>
      <c r="AS518" s="11">
        <f>AM518+AN518</f>
        <v>0</v>
      </c>
      <c r="AT518" s="11">
        <f>F518/(100-AU518)*100</f>
        <v>0</v>
      </c>
      <c r="AU518" s="11">
        <v>0</v>
      </c>
      <c r="AV518" s="11">
        <f>K518</f>
        <v>0.051000000000000004</v>
      </c>
    </row>
    <row r="519" spans="1:14" ht="12.75">
      <c r="A519" s="39"/>
      <c r="B519" s="39"/>
      <c r="C519" s="63" t="s">
        <v>500</v>
      </c>
      <c r="D519" s="39"/>
      <c r="E519" s="64">
        <v>3</v>
      </c>
      <c r="F519" s="39"/>
      <c r="G519" s="39"/>
      <c r="H519" s="39"/>
      <c r="I519" s="39"/>
      <c r="J519" s="39"/>
      <c r="K519" s="39"/>
      <c r="L519" s="39"/>
      <c r="M519" s="39"/>
      <c r="N519" s="39"/>
    </row>
    <row r="520" spans="1:48" ht="12.75">
      <c r="A520" s="59" t="s">
        <v>775</v>
      </c>
      <c r="B520" s="59" t="s">
        <v>1153</v>
      </c>
      <c r="C520" s="59" t="s">
        <v>1718</v>
      </c>
      <c r="D520" s="59" t="s">
        <v>146</v>
      </c>
      <c r="E520" s="60">
        <v>98.59</v>
      </c>
      <c r="F520" s="61"/>
      <c r="G520" s="61">
        <f>E520*AE520</f>
        <v>0</v>
      </c>
      <c r="H520" s="61">
        <f>I520-G520</f>
        <v>0</v>
      </c>
      <c r="I520" s="61">
        <f>E520*F520</f>
        <v>0</v>
      </c>
      <c r="J520" s="61">
        <v>0</v>
      </c>
      <c r="K520" s="61">
        <f>E520*J520</f>
        <v>0</v>
      </c>
      <c r="L520" s="62" t="s">
        <v>170</v>
      </c>
      <c r="M520" s="39"/>
      <c r="N520" s="39"/>
      <c r="P520" s="11">
        <f>IF(AG520="5",I520,0)</f>
        <v>0</v>
      </c>
      <c r="R520" s="11">
        <f>IF(AG520="1",G520,0)</f>
        <v>0</v>
      </c>
      <c r="S520" s="11">
        <f>IF(AG520="1",H520,0)</f>
        <v>0</v>
      </c>
      <c r="T520" s="11">
        <f>IF(AG520="7",G520,0)</f>
        <v>0</v>
      </c>
      <c r="U520" s="11">
        <f>IF(AG520="7",H520,0)</f>
        <v>0</v>
      </c>
      <c r="V520" s="11">
        <f>IF(AG520="2",G520,0)</f>
        <v>0</v>
      </c>
      <c r="W520" s="11">
        <f>IF(AG520="2",H520,0)</f>
        <v>0</v>
      </c>
      <c r="X520" s="11">
        <f>IF(AG520="0",I520,0)</f>
        <v>0</v>
      </c>
      <c r="Y520" s="6"/>
      <c r="Z520" s="4">
        <f>IF(AD520=0,I520,0)</f>
        <v>0</v>
      </c>
      <c r="AA520" s="4">
        <f>IF(AD520=15,I520,0)</f>
        <v>0</v>
      </c>
      <c r="AB520" s="4">
        <f>IF(AD520=21,I520,0)</f>
        <v>0</v>
      </c>
      <c r="AD520" s="11">
        <v>21</v>
      </c>
      <c r="AE520" s="11">
        <f>F520*0</f>
        <v>0</v>
      </c>
      <c r="AF520" s="11">
        <f>F520*(1-0)</f>
        <v>0</v>
      </c>
      <c r="AG520" s="7" t="s">
        <v>504</v>
      </c>
      <c r="AM520" s="11">
        <f>E520*AE520</f>
        <v>0</v>
      </c>
      <c r="AN520" s="11">
        <f>E520*AF520</f>
        <v>0</v>
      </c>
      <c r="AO520" s="12" t="s">
        <v>205</v>
      </c>
      <c r="AP520" s="12" t="s">
        <v>229</v>
      </c>
      <c r="AQ520" s="6" t="s">
        <v>234</v>
      </c>
      <c r="AS520" s="11">
        <f>AM520+AN520</f>
        <v>0</v>
      </c>
      <c r="AT520" s="11">
        <f>F520/(100-AU520)*100</f>
        <v>0</v>
      </c>
      <c r="AU520" s="11">
        <v>0</v>
      </c>
      <c r="AV520" s="11">
        <f>K520</f>
        <v>0</v>
      </c>
    </row>
    <row r="521" spans="1:14" ht="12.75">
      <c r="A521" s="39"/>
      <c r="B521" s="39"/>
      <c r="C521" s="63" t="s">
        <v>1719</v>
      </c>
      <c r="D521" s="39"/>
      <c r="E521" s="64">
        <v>98.59</v>
      </c>
      <c r="F521" s="39"/>
      <c r="G521" s="39"/>
      <c r="H521" s="39"/>
      <c r="I521" s="39"/>
      <c r="J521" s="39"/>
      <c r="K521" s="39"/>
      <c r="L521" s="39"/>
      <c r="M521" s="39"/>
      <c r="N521" s="39"/>
    </row>
    <row r="522" spans="1:14" ht="12.75">
      <c r="A522" s="39"/>
      <c r="B522" s="65" t="s">
        <v>872</v>
      </c>
      <c r="C522" s="303" t="s">
        <v>1720</v>
      </c>
      <c r="D522" s="304"/>
      <c r="E522" s="304"/>
      <c r="F522" s="304"/>
      <c r="G522" s="304"/>
      <c r="H522" s="304"/>
      <c r="I522" s="304"/>
      <c r="J522" s="304"/>
      <c r="K522" s="304"/>
      <c r="L522" s="304"/>
      <c r="M522" s="39"/>
      <c r="N522" s="39"/>
    </row>
    <row r="523" spans="1:48" ht="12.75">
      <c r="A523" s="59" t="s">
        <v>776</v>
      </c>
      <c r="B523" s="59" t="s">
        <v>1154</v>
      </c>
      <c r="C523" s="59" t="s">
        <v>1721</v>
      </c>
      <c r="D523" s="59" t="s">
        <v>144</v>
      </c>
      <c r="E523" s="60">
        <v>4</v>
      </c>
      <c r="F523" s="61"/>
      <c r="G523" s="61">
        <f>E523*AE523</f>
        <v>0</v>
      </c>
      <c r="H523" s="61">
        <f>I523-G523</f>
        <v>0</v>
      </c>
      <c r="I523" s="61">
        <f>E523*F523</f>
        <v>0</v>
      </c>
      <c r="J523" s="61">
        <v>0</v>
      </c>
      <c r="K523" s="61">
        <f>E523*J523</f>
        <v>0</v>
      </c>
      <c r="L523" s="62" t="s">
        <v>170</v>
      </c>
      <c r="M523" s="39"/>
      <c r="N523" s="39"/>
      <c r="P523" s="11">
        <f>IF(AG523="5",I523,0)</f>
        <v>0</v>
      </c>
      <c r="R523" s="11">
        <f>IF(AG523="1",G523,0)</f>
        <v>0</v>
      </c>
      <c r="S523" s="11">
        <f>IF(AG523="1",H523,0)</f>
        <v>0</v>
      </c>
      <c r="T523" s="11">
        <f>IF(AG523="7",G523,0)</f>
        <v>0</v>
      </c>
      <c r="U523" s="11">
        <f>IF(AG523="7",H523,0)</f>
        <v>0</v>
      </c>
      <c r="V523" s="11">
        <f>IF(AG523="2",G523,0)</f>
        <v>0</v>
      </c>
      <c r="W523" s="11">
        <f>IF(AG523="2",H523,0)</f>
        <v>0</v>
      </c>
      <c r="X523" s="11">
        <f>IF(AG523="0",I523,0)</f>
        <v>0</v>
      </c>
      <c r="Y523" s="6"/>
      <c r="Z523" s="4">
        <f>IF(AD523=0,I523,0)</f>
        <v>0</v>
      </c>
      <c r="AA523" s="4">
        <f>IF(AD523=15,I523,0)</f>
        <v>0</v>
      </c>
      <c r="AB523" s="4">
        <f>IF(AD523=21,I523,0)</f>
        <v>0</v>
      </c>
      <c r="AD523" s="11">
        <v>21</v>
      </c>
      <c r="AE523" s="11">
        <f>F523*0</f>
        <v>0</v>
      </c>
      <c r="AF523" s="11">
        <f>F523*(1-0)</f>
        <v>0</v>
      </c>
      <c r="AG523" s="7" t="s">
        <v>504</v>
      </c>
      <c r="AM523" s="11">
        <f>E523*AE523</f>
        <v>0</v>
      </c>
      <c r="AN523" s="11">
        <f>E523*AF523</f>
        <v>0</v>
      </c>
      <c r="AO523" s="12" t="s">
        <v>205</v>
      </c>
      <c r="AP523" s="12" t="s">
        <v>229</v>
      </c>
      <c r="AQ523" s="6" t="s">
        <v>234</v>
      </c>
      <c r="AS523" s="11">
        <f>AM523+AN523</f>
        <v>0</v>
      </c>
      <c r="AT523" s="11">
        <f>F523/(100-AU523)*100</f>
        <v>0</v>
      </c>
      <c r="AU523" s="11">
        <v>0</v>
      </c>
      <c r="AV523" s="11">
        <f>K523</f>
        <v>0</v>
      </c>
    </row>
    <row r="524" spans="1:14" ht="12.75">
      <c r="A524" s="39"/>
      <c r="B524" s="39"/>
      <c r="C524" s="63" t="s">
        <v>501</v>
      </c>
      <c r="D524" s="39"/>
      <c r="E524" s="64">
        <v>4</v>
      </c>
      <c r="F524" s="39"/>
      <c r="G524" s="39"/>
      <c r="H524" s="39"/>
      <c r="I524" s="39"/>
      <c r="J524" s="39"/>
      <c r="K524" s="39"/>
      <c r="L524" s="39"/>
      <c r="M524" s="39"/>
      <c r="N524" s="39"/>
    </row>
    <row r="525" spans="1:48" ht="12.75">
      <c r="A525" s="59" t="s">
        <v>777</v>
      </c>
      <c r="B525" s="59" t="s">
        <v>1155</v>
      </c>
      <c r="C525" s="59" t="s">
        <v>1722</v>
      </c>
      <c r="D525" s="59" t="s">
        <v>144</v>
      </c>
      <c r="E525" s="60">
        <v>1</v>
      </c>
      <c r="F525" s="61"/>
      <c r="G525" s="61">
        <f>E525*AE525</f>
        <v>0</v>
      </c>
      <c r="H525" s="61">
        <f>I525-G525</f>
        <v>0</v>
      </c>
      <c r="I525" s="61">
        <f>E525*F525</f>
        <v>0</v>
      </c>
      <c r="J525" s="61">
        <v>0</v>
      </c>
      <c r="K525" s="61">
        <f>E525*J525</f>
        <v>0</v>
      </c>
      <c r="L525" s="62" t="s">
        <v>170</v>
      </c>
      <c r="M525" s="39"/>
      <c r="N525" s="39"/>
      <c r="P525" s="11">
        <f>IF(AG525="5",I525,0)</f>
        <v>0</v>
      </c>
      <c r="R525" s="11">
        <f>IF(AG525="1",G525,0)</f>
        <v>0</v>
      </c>
      <c r="S525" s="11">
        <f>IF(AG525="1",H525,0)</f>
        <v>0</v>
      </c>
      <c r="T525" s="11">
        <f>IF(AG525="7",G525,0)</f>
        <v>0</v>
      </c>
      <c r="U525" s="11">
        <f>IF(AG525="7",H525,0)</f>
        <v>0</v>
      </c>
      <c r="V525" s="11">
        <f>IF(AG525="2",G525,0)</f>
        <v>0</v>
      </c>
      <c r="W525" s="11">
        <f>IF(AG525="2",H525,0)</f>
        <v>0</v>
      </c>
      <c r="X525" s="11">
        <f>IF(AG525="0",I525,0)</f>
        <v>0</v>
      </c>
      <c r="Y525" s="6"/>
      <c r="Z525" s="4">
        <f>IF(AD525=0,I525,0)</f>
        <v>0</v>
      </c>
      <c r="AA525" s="4">
        <f>IF(AD525=15,I525,0)</f>
        <v>0</v>
      </c>
      <c r="AB525" s="4">
        <f>IF(AD525=21,I525,0)</f>
        <v>0</v>
      </c>
      <c r="AD525" s="11">
        <v>21</v>
      </c>
      <c r="AE525" s="11">
        <f>F525*0</f>
        <v>0</v>
      </c>
      <c r="AF525" s="11">
        <f>F525*(1-0)</f>
        <v>0</v>
      </c>
      <c r="AG525" s="7" t="s">
        <v>504</v>
      </c>
      <c r="AM525" s="11">
        <f>E525*AE525</f>
        <v>0</v>
      </c>
      <c r="AN525" s="11">
        <f>E525*AF525</f>
        <v>0</v>
      </c>
      <c r="AO525" s="12" t="s">
        <v>205</v>
      </c>
      <c r="AP525" s="12" t="s">
        <v>229</v>
      </c>
      <c r="AQ525" s="6" t="s">
        <v>234</v>
      </c>
      <c r="AS525" s="11">
        <f>AM525+AN525</f>
        <v>0</v>
      </c>
      <c r="AT525" s="11">
        <f>F525/(100-AU525)*100</f>
        <v>0</v>
      </c>
      <c r="AU525" s="11">
        <v>0</v>
      </c>
      <c r="AV525" s="11">
        <f>K525</f>
        <v>0</v>
      </c>
    </row>
    <row r="526" spans="1:14" ht="12.75">
      <c r="A526" s="39"/>
      <c r="B526" s="39"/>
      <c r="C526" s="63" t="s">
        <v>498</v>
      </c>
      <c r="D526" s="39"/>
      <c r="E526" s="64">
        <v>1</v>
      </c>
      <c r="F526" s="39"/>
      <c r="G526" s="39"/>
      <c r="H526" s="39"/>
      <c r="I526" s="39"/>
      <c r="J526" s="39"/>
      <c r="K526" s="39"/>
      <c r="L526" s="39"/>
      <c r="M526" s="39"/>
      <c r="N526" s="39"/>
    </row>
    <row r="527" spans="1:48" ht="12.75">
      <c r="A527" s="70" t="s">
        <v>778</v>
      </c>
      <c r="B527" s="70" t="s">
        <v>1156</v>
      </c>
      <c r="C527" s="70" t="s">
        <v>1723</v>
      </c>
      <c r="D527" s="70" t="s">
        <v>144</v>
      </c>
      <c r="E527" s="71">
        <v>1</v>
      </c>
      <c r="F527" s="72"/>
      <c r="G527" s="72">
        <f>E527*AE527</f>
        <v>0</v>
      </c>
      <c r="H527" s="72">
        <f>I527-G527</f>
        <v>0</v>
      </c>
      <c r="I527" s="72">
        <f>E527*F527</f>
        <v>0</v>
      </c>
      <c r="J527" s="72">
        <v>0</v>
      </c>
      <c r="K527" s="72">
        <f>E527*J527</f>
        <v>0</v>
      </c>
      <c r="L527" s="73" t="s">
        <v>170</v>
      </c>
      <c r="M527" s="39"/>
      <c r="N527" s="39"/>
      <c r="P527" s="11">
        <f>IF(AG527="5",I527,0)</f>
        <v>0</v>
      </c>
      <c r="R527" s="11">
        <f>IF(AG527="1",G527,0)</f>
        <v>0</v>
      </c>
      <c r="S527" s="11">
        <f>IF(AG527="1",H527,0)</f>
        <v>0</v>
      </c>
      <c r="T527" s="11">
        <f>IF(AG527="7",G527,0)</f>
        <v>0</v>
      </c>
      <c r="U527" s="11">
        <f>IF(AG527="7",H527,0)</f>
        <v>0</v>
      </c>
      <c r="V527" s="11">
        <f>IF(AG527="2",G527,0)</f>
        <v>0</v>
      </c>
      <c r="W527" s="11">
        <f>IF(AG527="2",H527,0)</f>
        <v>0</v>
      </c>
      <c r="X527" s="11">
        <f>IF(AG527="0",I527,0)</f>
        <v>0</v>
      </c>
      <c r="Y527" s="6"/>
      <c r="Z527" s="5">
        <f>IF(AD527=0,I527,0)</f>
        <v>0</v>
      </c>
      <c r="AA527" s="5">
        <f>IF(AD527=15,I527,0)</f>
        <v>0</v>
      </c>
      <c r="AB527" s="5">
        <f>IF(AD527=21,I527,0)</f>
        <v>0</v>
      </c>
      <c r="AD527" s="11">
        <v>21</v>
      </c>
      <c r="AE527" s="11">
        <f>F527*1</f>
        <v>0</v>
      </c>
      <c r="AF527" s="11">
        <f>F527*(1-1)</f>
        <v>0</v>
      </c>
      <c r="AG527" s="8" t="s">
        <v>504</v>
      </c>
      <c r="AM527" s="11">
        <f>E527*AE527</f>
        <v>0</v>
      </c>
      <c r="AN527" s="11">
        <f>E527*AF527</f>
        <v>0</v>
      </c>
      <c r="AO527" s="12" t="s">
        <v>205</v>
      </c>
      <c r="AP527" s="12" t="s">
        <v>229</v>
      </c>
      <c r="AQ527" s="6" t="s">
        <v>234</v>
      </c>
      <c r="AS527" s="11">
        <f>AM527+AN527</f>
        <v>0</v>
      </c>
      <c r="AT527" s="11">
        <f>F527/(100-AU527)*100</f>
        <v>0</v>
      </c>
      <c r="AU527" s="11">
        <v>0</v>
      </c>
      <c r="AV527" s="11">
        <f>K527</f>
        <v>0</v>
      </c>
    </row>
    <row r="528" spans="1:14" ht="12.75">
      <c r="A528" s="39"/>
      <c r="B528" s="39"/>
      <c r="C528" s="63" t="s">
        <v>498</v>
      </c>
      <c r="D528" s="39"/>
      <c r="E528" s="64">
        <v>1</v>
      </c>
      <c r="F528" s="39"/>
      <c r="G528" s="39"/>
      <c r="H528" s="39"/>
      <c r="I528" s="39"/>
      <c r="J528" s="39"/>
      <c r="K528" s="39"/>
      <c r="L528" s="39"/>
      <c r="M528" s="39"/>
      <c r="N528" s="39"/>
    </row>
    <row r="529" spans="1:48" ht="12.75">
      <c r="A529" s="59" t="s">
        <v>779</v>
      </c>
      <c r="B529" s="59" t="s">
        <v>1157</v>
      </c>
      <c r="C529" s="59" t="s">
        <v>1724</v>
      </c>
      <c r="D529" s="59" t="s">
        <v>144</v>
      </c>
      <c r="E529" s="60">
        <v>6</v>
      </c>
      <c r="F529" s="61"/>
      <c r="G529" s="61">
        <f>E529*AE529</f>
        <v>0</v>
      </c>
      <c r="H529" s="61">
        <f>I529-G529</f>
        <v>0</v>
      </c>
      <c r="I529" s="61">
        <f>E529*F529</f>
        <v>0</v>
      </c>
      <c r="J529" s="61">
        <v>0</v>
      </c>
      <c r="K529" s="61">
        <f>E529*J529</f>
        <v>0</v>
      </c>
      <c r="L529" s="62" t="s">
        <v>170</v>
      </c>
      <c r="M529" s="39"/>
      <c r="N529" s="39"/>
      <c r="P529" s="11">
        <f>IF(AG529="5",I529,0)</f>
        <v>0</v>
      </c>
      <c r="R529" s="11">
        <f>IF(AG529="1",G529,0)</f>
        <v>0</v>
      </c>
      <c r="S529" s="11">
        <f>IF(AG529="1",H529,0)</f>
        <v>0</v>
      </c>
      <c r="T529" s="11">
        <f>IF(AG529="7",G529,0)</f>
        <v>0</v>
      </c>
      <c r="U529" s="11">
        <f>IF(AG529="7",H529,0)</f>
        <v>0</v>
      </c>
      <c r="V529" s="11">
        <f>IF(AG529="2",G529,0)</f>
        <v>0</v>
      </c>
      <c r="W529" s="11">
        <f>IF(AG529="2",H529,0)</f>
        <v>0</v>
      </c>
      <c r="X529" s="11">
        <f>IF(AG529="0",I529,0)</f>
        <v>0</v>
      </c>
      <c r="Y529" s="6"/>
      <c r="Z529" s="4">
        <f>IF(AD529=0,I529,0)</f>
        <v>0</v>
      </c>
      <c r="AA529" s="4">
        <f>IF(AD529=15,I529,0)</f>
        <v>0</v>
      </c>
      <c r="AB529" s="4">
        <f>IF(AD529=21,I529,0)</f>
        <v>0</v>
      </c>
      <c r="AD529" s="11">
        <v>21</v>
      </c>
      <c r="AE529" s="11">
        <f>F529*0</f>
        <v>0</v>
      </c>
      <c r="AF529" s="11">
        <f>F529*(1-0)</f>
        <v>0</v>
      </c>
      <c r="AG529" s="7" t="s">
        <v>504</v>
      </c>
      <c r="AM529" s="11">
        <f>E529*AE529</f>
        <v>0</v>
      </c>
      <c r="AN529" s="11">
        <f>E529*AF529</f>
        <v>0</v>
      </c>
      <c r="AO529" s="12" t="s">
        <v>205</v>
      </c>
      <c r="AP529" s="12" t="s">
        <v>229</v>
      </c>
      <c r="AQ529" s="6" t="s">
        <v>234</v>
      </c>
      <c r="AS529" s="11">
        <f>AM529+AN529</f>
        <v>0</v>
      </c>
      <c r="AT529" s="11">
        <f>F529/(100-AU529)*100</f>
        <v>0</v>
      </c>
      <c r="AU529" s="11">
        <v>0</v>
      </c>
      <c r="AV529" s="11">
        <f>K529</f>
        <v>0</v>
      </c>
    </row>
    <row r="530" spans="1:14" ht="12.75">
      <c r="A530" s="39"/>
      <c r="B530" s="39"/>
      <c r="C530" s="63" t="s">
        <v>503</v>
      </c>
      <c r="D530" s="39"/>
      <c r="E530" s="64">
        <v>6</v>
      </c>
      <c r="F530" s="39"/>
      <c r="G530" s="39"/>
      <c r="H530" s="39"/>
      <c r="I530" s="39"/>
      <c r="J530" s="39"/>
      <c r="K530" s="39"/>
      <c r="L530" s="39"/>
      <c r="M530" s="39"/>
      <c r="N530" s="39"/>
    </row>
    <row r="531" spans="1:48" ht="12.75">
      <c r="A531" s="70" t="s">
        <v>780</v>
      </c>
      <c r="B531" s="70" t="s">
        <v>1158</v>
      </c>
      <c r="C531" s="70" t="s">
        <v>1725</v>
      </c>
      <c r="D531" s="70" t="s">
        <v>144</v>
      </c>
      <c r="E531" s="71">
        <v>6</v>
      </c>
      <c r="F531" s="72"/>
      <c r="G531" s="72">
        <f>E531*AE531</f>
        <v>0</v>
      </c>
      <c r="H531" s="72">
        <f>I531-G531</f>
        <v>0</v>
      </c>
      <c r="I531" s="72">
        <f>E531*F531</f>
        <v>0</v>
      </c>
      <c r="J531" s="72">
        <v>0.0002</v>
      </c>
      <c r="K531" s="72">
        <f>E531*J531</f>
        <v>0.0012000000000000001</v>
      </c>
      <c r="L531" s="73" t="s">
        <v>170</v>
      </c>
      <c r="M531" s="39"/>
      <c r="N531" s="39"/>
      <c r="P531" s="11">
        <f>IF(AG531="5",I531,0)</f>
        <v>0</v>
      </c>
      <c r="R531" s="11">
        <f>IF(AG531="1",G531,0)</f>
        <v>0</v>
      </c>
      <c r="S531" s="11">
        <f>IF(AG531="1",H531,0)</f>
        <v>0</v>
      </c>
      <c r="T531" s="11">
        <f>IF(AG531="7",G531,0)</f>
        <v>0</v>
      </c>
      <c r="U531" s="11">
        <f>IF(AG531="7",H531,0)</f>
        <v>0</v>
      </c>
      <c r="V531" s="11">
        <f>IF(AG531="2",G531,0)</f>
        <v>0</v>
      </c>
      <c r="W531" s="11">
        <f>IF(AG531="2",H531,0)</f>
        <v>0</v>
      </c>
      <c r="X531" s="11">
        <f>IF(AG531="0",I531,0)</f>
        <v>0</v>
      </c>
      <c r="Y531" s="6"/>
      <c r="Z531" s="5">
        <f>IF(AD531=0,I531,0)</f>
        <v>0</v>
      </c>
      <c r="AA531" s="5">
        <f>IF(AD531=15,I531,0)</f>
        <v>0</v>
      </c>
      <c r="AB531" s="5">
        <f>IF(AD531=21,I531,0)</f>
        <v>0</v>
      </c>
      <c r="AD531" s="11">
        <v>21</v>
      </c>
      <c r="AE531" s="11">
        <f>F531*1</f>
        <v>0</v>
      </c>
      <c r="AF531" s="11">
        <f>F531*(1-1)</f>
        <v>0</v>
      </c>
      <c r="AG531" s="8" t="s">
        <v>504</v>
      </c>
      <c r="AM531" s="11">
        <f>E531*AE531</f>
        <v>0</v>
      </c>
      <c r="AN531" s="11">
        <f>E531*AF531</f>
        <v>0</v>
      </c>
      <c r="AO531" s="12" t="s">
        <v>205</v>
      </c>
      <c r="AP531" s="12" t="s">
        <v>229</v>
      </c>
      <c r="AQ531" s="6" t="s">
        <v>234</v>
      </c>
      <c r="AS531" s="11">
        <f>AM531+AN531</f>
        <v>0</v>
      </c>
      <c r="AT531" s="11">
        <f>F531/(100-AU531)*100</f>
        <v>0</v>
      </c>
      <c r="AU531" s="11">
        <v>0</v>
      </c>
      <c r="AV531" s="11">
        <f>K531</f>
        <v>0.0012000000000000001</v>
      </c>
    </row>
    <row r="532" spans="1:14" ht="12.75">
      <c r="A532" s="39"/>
      <c r="B532" s="39"/>
      <c r="C532" s="63" t="s">
        <v>503</v>
      </c>
      <c r="D532" s="39"/>
      <c r="E532" s="64">
        <v>6</v>
      </c>
      <c r="F532" s="39"/>
      <c r="G532" s="39"/>
      <c r="H532" s="39"/>
      <c r="I532" s="39"/>
      <c r="J532" s="39"/>
      <c r="K532" s="39"/>
      <c r="L532" s="39"/>
      <c r="M532" s="39"/>
      <c r="N532" s="39"/>
    </row>
    <row r="533" spans="1:48" ht="12.75">
      <c r="A533" s="59" t="s">
        <v>781</v>
      </c>
      <c r="B533" s="59" t="s">
        <v>1159</v>
      </c>
      <c r="C533" s="59" t="s">
        <v>1726</v>
      </c>
      <c r="D533" s="59" t="s">
        <v>144</v>
      </c>
      <c r="E533" s="60">
        <v>12</v>
      </c>
      <c r="F533" s="61"/>
      <c r="G533" s="61">
        <f>E533*AE533</f>
        <v>0</v>
      </c>
      <c r="H533" s="61">
        <f>I533-G533</f>
        <v>0</v>
      </c>
      <c r="I533" s="61">
        <f>E533*F533</f>
        <v>0</v>
      </c>
      <c r="J533" s="61">
        <v>0</v>
      </c>
      <c r="K533" s="61">
        <f>E533*J533</f>
        <v>0</v>
      </c>
      <c r="L533" s="62" t="s">
        <v>170</v>
      </c>
      <c r="M533" s="39"/>
      <c r="N533" s="39"/>
      <c r="P533" s="11">
        <f>IF(AG533="5",I533,0)</f>
        <v>0</v>
      </c>
      <c r="R533" s="11">
        <f>IF(AG533="1",G533,0)</f>
        <v>0</v>
      </c>
      <c r="S533" s="11">
        <f>IF(AG533="1",H533,0)</f>
        <v>0</v>
      </c>
      <c r="T533" s="11">
        <f>IF(AG533="7",G533,0)</f>
        <v>0</v>
      </c>
      <c r="U533" s="11">
        <f>IF(AG533="7",H533,0)</f>
        <v>0</v>
      </c>
      <c r="V533" s="11">
        <f>IF(AG533="2",G533,0)</f>
        <v>0</v>
      </c>
      <c r="W533" s="11">
        <f>IF(AG533="2",H533,0)</f>
        <v>0</v>
      </c>
      <c r="X533" s="11">
        <f>IF(AG533="0",I533,0)</f>
        <v>0</v>
      </c>
      <c r="Y533" s="6"/>
      <c r="Z533" s="4">
        <f>IF(AD533=0,I533,0)</f>
        <v>0</v>
      </c>
      <c r="AA533" s="4">
        <f>IF(AD533=15,I533,0)</f>
        <v>0</v>
      </c>
      <c r="AB533" s="4">
        <f>IF(AD533=21,I533,0)</f>
        <v>0</v>
      </c>
      <c r="AD533" s="11">
        <v>21</v>
      </c>
      <c r="AE533" s="11">
        <f>F533*0</f>
        <v>0</v>
      </c>
      <c r="AF533" s="11">
        <f>F533*(1-0)</f>
        <v>0</v>
      </c>
      <c r="AG533" s="7" t="s">
        <v>504</v>
      </c>
      <c r="AM533" s="11">
        <f>E533*AE533</f>
        <v>0</v>
      </c>
      <c r="AN533" s="11">
        <f>E533*AF533</f>
        <v>0</v>
      </c>
      <c r="AO533" s="12" t="s">
        <v>205</v>
      </c>
      <c r="AP533" s="12" t="s">
        <v>229</v>
      </c>
      <c r="AQ533" s="6" t="s">
        <v>234</v>
      </c>
      <c r="AS533" s="11">
        <f>AM533+AN533</f>
        <v>0</v>
      </c>
      <c r="AT533" s="11">
        <f>F533/(100-AU533)*100</f>
        <v>0</v>
      </c>
      <c r="AU533" s="11">
        <v>0</v>
      </c>
      <c r="AV533" s="11">
        <f>K533</f>
        <v>0</v>
      </c>
    </row>
    <row r="534" spans="1:14" ht="12.75">
      <c r="A534" s="39"/>
      <c r="B534" s="39"/>
      <c r="C534" s="63" t="s">
        <v>509</v>
      </c>
      <c r="D534" s="39"/>
      <c r="E534" s="64">
        <v>12</v>
      </c>
      <c r="F534" s="39"/>
      <c r="G534" s="39"/>
      <c r="H534" s="39"/>
      <c r="I534" s="39"/>
      <c r="J534" s="39"/>
      <c r="K534" s="39"/>
      <c r="L534" s="39"/>
      <c r="M534" s="39"/>
      <c r="N534" s="39"/>
    </row>
    <row r="535" spans="1:48" ht="12.75">
      <c r="A535" s="70" t="s">
        <v>782</v>
      </c>
      <c r="B535" s="70" t="s">
        <v>1160</v>
      </c>
      <c r="C535" s="70" t="s">
        <v>1727</v>
      </c>
      <c r="D535" s="70" t="s">
        <v>144</v>
      </c>
      <c r="E535" s="71">
        <v>12</v>
      </c>
      <c r="F535" s="72"/>
      <c r="G535" s="72">
        <f>E535*AE535</f>
        <v>0</v>
      </c>
      <c r="H535" s="72">
        <f>I535-G535</f>
        <v>0</v>
      </c>
      <c r="I535" s="72">
        <f>E535*F535</f>
        <v>0</v>
      </c>
      <c r="J535" s="72">
        <v>0.0008</v>
      </c>
      <c r="K535" s="72">
        <f>E535*J535</f>
        <v>0.009600000000000001</v>
      </c>
      <c r="L535" s="73" t="s">
        <v>170</v>
      </c>
      <c r="M535" s="39"/>
      <c r="N535" s="39"/>
      <c r="P535" s="11">
        <f>IF(AG535="5",I535,0)</f>
        <v>0</v>
      </c>
      <c r="R535" s="11">
        <f>IF(AG535="1",G535,0)</f>
        <v>0</v>
      </c>
      <c r="S535" s="11">
        <f>IF(AG535="1",H535,0)</f>
        <v>0</v>
      </c>
      <c r="T535" s="11">
        <f>IF(AG535="7",G535,0)</f>
        <v>0</v>
      </c>
      <c r="U535" s="11">
        <f>IF(AG535="7",H535,0)</f>
        <v>0</v>
      </c>
      <c r="V535" s="11">
        <f>IF(AG535="2",G535,0)</f>
        <v>0</v>
      </c>
      <c r="W535" s="11">
        <f>IF(AG535="2",H535,0)</f>
        <v>0</v>
      </c>
      <c r="X535" s="11">
        <f>IF(AG535="0",I535,0)</f>
        <v>0</v>
      </c>
      <c r="Y535" s="6"/>
      <c r="Z535" s="5">
        <f>IF(AD535=0,I535,0)</f>
        <v>0</v>
      </c>
      <c r="AA535" s="5">
        <f>IF(AD535=15,I535,0)</f>
        <v>0</v>
      </c>
      <c r="AB535" s="5">
        <f>IF(AD535=21,I535,0)</f>
        <v>0</v>
      </c>
      <c r="AD535" s="11">
        <v>21</v>
      </c>
      <c r="AE535" s="11">
        <f>F535*1</f>
        <v>0</v>
      </c>
      <c r="AF535" s="11">
        <f>F535*(1-1)</f>
        <v>0</v>
      </c>
      <c r="AG535" s="8" t="s">
        <v>504</v>
      </c>
      <c r="AM535" s="11">
        <f>E535*AE535</f>
        <v>0</v>
      </c>
      <c r="AN535" s="11">
        <f>E535*AF535</f>
        <v>0</v>
      </c>
      <c r="AO535" s="12" t="s">
        <v>205</v>
      </c>
      <c r="AP535" s="12" t="s">
        <v>229</v>
      </c>
      <c r="AQ535" s="6" t="s">
        <v>234</v>
      </c>
      <c r="AS535" s="11">
        <f>AM535+AN535</f>
        <v>0</v>
      </c>
      <c r="AT535" s="11">
        <f>F535/(100-AU535)*100</f>
        <v>0</v>
      </c>
      <c r="AU535" s="11">
        <v>0</v>
      </c>
      <c r="AV535" s="11">
        <f>K535</f>
        <v>0.009600000000000001</v>
      </c>
    </row>
    <row r="536" spans="1:14" ht="12.75">
      <c r="A536" s="39"/>
      <c r="B536" s="39"/>
      <c r="C536" s="63" t="s">
        <v>509</v>
      </c>
      <c r="D536" s="39"/>
      <c r="E536" s="64">
        <v>12</v>
      </c>
      <c r="F536" s="39"/>
      <c r="G536" s="39"/>
      <c r="H536" s="39"/>
      <c r="I536" s="39"/>
      <c r="J536" s="39"/>
      <c r="K536" s="39"/>
      <c r="L536" s="39"/>
      <c r="M536" s="39"/>
      <c r="N536" s="39"/>
    </row>
    <row r="537" spans="1:48" ht="12.75">
      <c r="A537" s="59" t="s">
        <v>783</v>
      </c>
      <c r="B537" s="59" t="s">
        <v>1161</v>
      </c>
      <c r="C537" s="59" t="s">
        <v>1728</v>
      </c>
      <c r="D537" s="59" t="s">
        <v>144</v>
      </c>
      <c r="E537" s="60">
        <v>2</v>
      </c>
      <c r="F537" s="61"/>
      <c r="G537" s="61">
        <f>E537*AE537</f>
        <v>0</v>
      </c>
      <c r="H537" s="61">
        <f>I537-G537</f>
        <v>0</v>
      </c>
      <c r="I537" s="61">
        <f>E537*F537</f>
        <v>0</v>
      </c>
      <c r="J537" s="61">
        <v>0.116</v>
      </c>
      <c r="K537" s="61">
        <f>E537*J537</f>
        <v>0.232</v>
      </c>
      <c r="L537" s="62" t="s">
        <v>170</v>
      </c>
      <c r="M537" s="39"/>
      <c r="N537" s="39"/>
      <c r="P537" s="11">
        <f>IF(AG537="5",I537,0)</f>
        <v>0</v>
      </c>
      <c r="R537" s="11">
        <f>IF(AG537="1",G537,0)</f>
        <v>0</v>
      </c>
      <c r="S537" s="11">
        <f>IF(AG537="1",H537,0)</f>
        <v>0</v>
      </c>
      <c r="T537" s="11">
        <f>IF(AG537="7",G537,0)</f>
        <v>0</v>
      </c>
      <c r="U537" s="11">
        <f>IF(AG537="7",H537,0)</f>
        <v>0</v>
      </c>
      <c r="V537" s="11">
        <f>IF(AG537="2",G537,0)</f>
        <v>0</v>
      </c>
      <c r="W537" s="11">
        <f>IF(AG537="2",H537,0)</f>
        <v>0</v>
      </c>
      <c r="X537" s="11">
        <f>IF(AG537="0",I537,0)</f>
        <v>0</v>
      </c>
      <c r="Y537" s="6"/>
      <c r="Z537" s="4">
        <f>IF(AD537=0,I537,0)</f>
        <v>0</v>
      </c>
      <c r="AA537" s="4">
        <f>IF(AD537=15,I537,0)</f>
        <v>0</v>
      </c>
      <c r="AB537" s="4">
        <f>IF(AD537=21,I537,0)</f>
        <v>0</v>
      </c>
      <c r="AD537" s="11">
        <v>21</v>
      </c>
      <c r="AE537" s="11">
        <f>F537*0.914438413361169</f>
        <v>0</v>
      </c>
      <c r="AF537" s="11">
        <f>F537*(1-0.914438413361169)</f>
        <v>0</v>
      </c>
      <c r="AG537" s="7" t="s">
        <v>504</v>
      </c>
      <c r="AM537" s="11">
        <f>E537*AE537</f>
        <v>0</v>
      </c>
      <c r="AN537" s="11">
        <f>E537*AF537</f>
        <v>0</v>
      </c>
      <c r="AO537" s="12" t="s">
        <v>205</v>
      </c>
      <c r="AP537" s="12" t="s">
        <v>229</v>
      </c>
      <c r="AQ537" s="6" t="s">
        <v>234</v>
      </c>
      <c r="AS537" s="11">
        <f>AM537+AN537</f>
        <v>0</v>
      </c>
      <c r="AT537" s="11">
        <f>F537/(100-AU537)*100</f>
        <v>0</v>
      </c>
      <c r="AU537" s="11">
        <v>0</v>
      </c>
      <c r="AV537" s="11">
        <f>K537</f>
        <v>0.232</v>
      </c>
    </row>
    <row r="538" spans="1:14" ht="12.75">
      <c r="A538" s="39"/>
      <c r="B538" s="39"/>
      <c r="C538" s="63" t="s">
        <v>499</v>
      </c>
      <c r="D538" s="39"/>
      <c r="E538" s="64">
        <v>2</v>
      </c>
      <c r="F538" s="39"/>
      <c r="G538" s="39"/>
      <c r="H538" s="39"/>
      <c r="I538" s="39"/>
      <c r="J538" s="39"/>
      <c r="K538" s="39"/>
      <c r="L538" s="39"/>
      <c r="M538" s="39"/>
      <c r="N538" s="39"/>
    </row>
    <row r="539" spans="1:48" ht="12.75">
      <c r="A539" s="59" t="s">
        <v>784</v>
      </c>
      <c r="B539" s="59" t="s">
        <v>1162</v>
      </c>
      <c r="C539" s="59" t="s">
        <v>1729</v>
      </c>
      <c r="D539" s="59" t="s">
        <v>144</v>
      </c>
      <c r="E539" s="60">
        <v>1</v>
      </c>
      <c r="F539" s="61"/>
      <c r="G539" s="61">
        <f>E539*AE539</f>
        <v>0</v>
      </c>
      <c r="H539" s="61">
        <f>I539-G539</f>
        <v>0</v>
      </c>
      <c r="I539" s="61">
        <f>E539*F539</f>
        <v>0</v>
      </c>
      <c r="J539" s="61">
        <v>0.122</v>
      </c>
      <c r="K539" s="61">
        <f>E539*J539</f>
        <v>0.122</v>
      </c>
      <c r="L539" s="62" t="s">
        <v>170</v>
      </c>
      <c r="M539" s="39"/>
      <c r="N539" s="39"/>
      <c r="P539" s="11">
        <f>IF(AG539="5",I539,0)</f>
        <v>0</v>
      </c>
      <c r="R539" s="11">
        <f>IF(AG539="1",G539,0)</f>
        <v>0</v>
      </c>
      <c r="S539" s="11">
        <f>IF(AG539="1",H539,0)</f>
        <v>0</v>
      </c>
      <c r="T539" s="11">
        <f>IF(AG539="7",G539,0)</f>
        <v>0</v>
      </c>
      <c r="U539" s="11">
        <f>IF(AG539="7",H539,0)</f>
        <v>0</v>
      </c>
      <c r="V539" s="11">
        <f>IF(AG539="2",G539,0)</f>
        <v>0</v>
      </c>
      <c r="W539" s="11">
        <f>IF(AG539="2",H539,0)</f>
        <v>0</v>
      </c>
      <c r="X539" s="11">
        <f>IF(AG539="0",I539,0)</f>
        <v>0</v>
      </c>
      <c r="Y539" s="6"/>
      <c r="Z539" s="4">
        <f>IF(AD539=0,I539,0)</f>
        <v>0</v>
      </c>
      <c r="AA539" s="4">
        <f>IF(AD539=15,I539,0)</f>
        <v>0</v>
      </c>
      <c r="AB539" s="4">
        <f>IF(AD539=21,I539,0)</f>
        <v>0</v>
      </c>
      <c r="AD539" s="11">
        <v>21</v>
      </c>
      <c r="AE539" s="11">
        <f>F539*0.924718122467897</f>
        <v>0</v>
      </c>
      <c r="AF539" s="11">
        <f>F539*(1-0.924718122467897)</f>
        <v>0</v>
      </c>
      <c r="AG539" s="7" t="s">
        <v>504</v>
      </c>
      <c r="AM539" s="11">
        <f>E539*AE539</f>
        <v>0</v>
      </c>
      <c r="AN539" s="11">
        <f>E539*AF539</f>
        <v>0</v>
      </c>
      <c r="AO539" s="12" t="s">
        <v>205</v>
      </c>
      <c r="AP539" s="12" t="s">
        <v>229</v>
      </c>
      <c r="AQ539" s="6" t="s">
        <v>234</v>
      </c>
      <c r="AS539" s="11">
        <f>AM539+AN539</f>
        <v>0</v>
      </c>
      <c r="AT539" s="11">
        <f>F539/(100-AU539)*100</f>
        <v>0</v>
      </c>
      <c r="AU539" s="11">
        <v>0</v>
      </c>
      <c r="AV539" s="11">
        <f>K539</f>
        <v>0.122</v>
      </c>
    </row>
    <row r="540" spans="1:14" ht="12.75">
      <c r="A540" s="39"/>
      <c r="B540" s="39"/>
      <c r="C540" s="63" t="s">
        <v>1730</v>
      </c>
      <c r="D540" s="39"/>
      <c r="E540" s="64">
        <v>1</v>
      </c>
      <c r="F540" s="39"/>
      <c r="G540" s="39"/>
      <c r="H540" s="39"/>
      <c r="I540" s="39"/>
      <c r="J540" s="39"/>
      <c r="K540" s="39"/>
      <c r="L540" s="39"/>
      <c r="M540" s="39"/>
      <c r="N540" s="39"/>
    </row>
    <row r="541" spans="1:48" ht="12.75">
      <c r="A541" s="59" t="s">
        <v>785</v>
      </c>
      <c r="B541" s="59" t="s">
        <v>1163</v>
      </c>
      <c r="C541" s="59" t="s">
        <v>1731</v>
      </c>
      <c r="D541" s="59" t="s">
        <v>144</v>
      </c>
      <c r="E541" s="60">
        <v>40</v>
      </c>
      <c r="F541" s="61"/>
      <c r="G541" s="61">
        <f>E541*AE541</f>
        <v>0</v>
      </c>
      <c r="H541" s="61">
        <f>I541-G541</f>
        <v>0</v>
      </c>
      <c r="I541" s="61">
        <f>E541*F541</f>
        <v>0</v>
      </c>
      <c r="J541" s="61">
        <v>0.00019</v>
      </c>
      <c r="K541" s="61">
        <f>E541*J541</f>
        <v>0.007600000000000001</v>
      </c>
      <c r="L541" s="62" t="s">
        <v>170</v>
      </c>
      <c r="M541" s="39"/>
      <c r="N541" s="39"/>
      <c r="P541" s="11">
        <f>IF(AG541="5",I541,0)</f>
        <v>0</v>
      </c>
      <c r="R541" s="11">
        <f>IF(AG541="1",G541,0)</f>
        <v>0</v>
      </c>
      <c r="S541" s="11">
        <f>IF(AG541="1",H541,0)</f>
        <v>0</v>
      </c>
      <c r="T541" s="11">
        <f>IF(AG541="7",G541,0)</f>
        <v>0</v>
      </c>
      <c r="U541" s="11">
        <f>IF(AG541="7",H541,0)</f>
        <v>0</v>
      </c>
      <c r="V541" s="11">
        <f>IF(AG541="2",G541,0)</f>
        <v>0</v>
      </c>
      <c r="W541" s="11">
        <f>IF(AG541="2",H541,0)</f>
        <v>0</v>
      </c>
      <c r="X541" s="11">
        <f>IF(AG541="0",I541,0)</f>
        <v>0</v>
      </c>
      <c r="Y541" s="6"/>
      <c r="Z541" s="4">
        <f>IF(AD541=0,I541,0)</f>
        <v>0</v>
      </c>
      <c r="AA541" s="4">
        <f>IF(AD541=15,I541,0)</f>
        <v>0</v>
      </c>
      <c r="AB541" s="4">
        <f>IF(AD541=21,I541,0)</f>
        <v>0</v>
      </c>
      <c r="AD541" s="11">
        <v>21</v>
      </c>
      <c r="AE541" s="11">
        <f>F541*0.00744715447154472</f>
        <v>0</v>
      </c>
      <c r="AF541" s="11">
        <f>F541*(1-0.00744715447154472)</f>
        <v>0</v>
      </c>
      <c r="AG541" s="7" t="s">
        <v>504</v>
      </c>
      <c r="AM541" s="11">
        <f>E541*AE541</f>
        <v>0</v>
      </c>
      <c r="AN541" s="11">
        <f>E541*AF541</f>
        <v>0</v>
      </c>
      <c r="AO541" s="12" t="s">
        <v>205</v>
      </c>
      <c r="AP541" s="12" t="s">
        <v>229</v>
      </c>
      <c r="AQ541" s="6" t="s">
        <v>234</v>
      </c>
      <c r="AS541" s="11">
        <f>AM541+AN541</f>
        <v>0</v>
      </c>
      <c r="AT541" s="11">
        <f>F541/(100-AU541)*100</f>
        <v>0</v>
      </c>
      <c r="AU541" s="11">
        <v>0</v>
      </c>
      <c r="AV541" s="11">
        <f>K541</f>
        <v>0.007600000000000001</v>
      </c>
    </row>
    <row r="542" spans="1:14" ht="12.75">
      <c r="A542" s="39"/>
      <c r="B542" s="39"/>
      <c r="C542" s="63" t="s">
        <v>1732</v>
      </c>
      <c r="D542" s="39"/>
      <c r="E542" s="64">
        <v>40</v>
      </c>
      <c r="F542" s="39"/>
      <c r="G542" s="39"/>
      <c r="H542" s="39"/>
      <c r="I542" s="39"/>
      <c r="J542" s="39"/>
      <c r="K542" s="39"/>
      <c r="L542" s="39"/>
      <c r="M542" s="39"/>
      <c r="N542" s="39"/>
    </row>
    <row r="543" spans="1:14" ht="12.75">
      <c r="A543" s="39"/>
      <c r="B543" s="65" t="s">
        <v>872</v>
      </c>
      <c r="C543" s="303" t="s">
        <v>1733</v>
      </c>
      <c r="D543" s="304"/>
      <c r="E543" s="304"/>
      <c r="F543" s="304"/>
      <c r="G543" s="304"/>
      <c r="H543" s="304"/>
      <c r="I543" s="304"/>
      <c r="J543" s="304"/>
      <c r="K543" s="304"/>
      <c r="L543" s="304"/>
      <c r="M543" s="39"/>
      <c r="N543" s="39"/>
    </row>
    <row r="544" spans="1:48" ht="12.75">
      <c r="A544" s="70" t="s">
        <v>786</v>
      </c>
      <c r="B544" s="70" t="s">
        <v>1164</v>
      </c>
      <c r="C544" s="70" t="s">
        <v>1734</v>
      </c>
      <c r="D544" s="70" t="s">
        <v>144</v>
      </c>
      <c r="E544" s="71">
        <v>40</v>
      </c>
      <c r="F544" s="72"/>
      <c r="G544" s="72">
        <f>E544*AE544</f>
        <v>0</v>
      </c>
      <c r="H544" s="72">
        <f>I544-G544</f>
        <v>0</v>
      </c>
      <c r="I544" s="72">
        <f>E544*F544</f>
        <v>0</v>
      </c>
      <c r="J544" s="72">
        <v>0.024</v>
      </c>
      <c r="K544" s="72">
        <f>E544*J544</f>
        <v>0.96</v>
      </c>
      <c r="L544" s="73" t="s">
        <v>170</v>
      </c>
      <c r="M544" s="39"/>
      <c r="N544" s="39"/>
      <c r="P544" s="11">
        <f>IF(AG544="5",I544,0)</f>
        <v>0</v>
      </c>
      <c r="R544" s="11">
        <f>IF(AG544="1",G544,0)</f>
        <v>0</v>
      </c>
      <c r="S544" s="11">
        <f>IF(AG544="1",H544,0)</f>
        <v>0</v>
      </c>
      <c r="T544" s="11">
        <f>IF(AG544="7",G544,0)</f>
        <v>0</v>
      </c>
      <c r="U544" s="11">
        <f>IF(AG544="7",H544,0)</f>
        <v>0</v>
      </c>
      <c r="V544" s="11">
        <f>IF(AG544="2",G544,0)</f>
        <v>0</v>
      </c>
      <c r="W544" s="11">
        <f>IF(AG544="2",H544,0)</f>
        <v>0</v>
      </c>
      <c r="X544" s="11">
        <f>IF(AG544="0",I544,0)</f>
        <v>0</v>
      </c>
      <c r="Y544" s="6"/>
      <c r="Z544" s="5">
        <f>IF(AD544=0,I544,0)</f>
        <v>0</v>
      </c>
      <c r="AA544" s="5">
        <f>IF(AD544=15,I544,0)</f>
        <v>0</v>
      </c>
      <c r="AB544" s="5">
        <f>IF(AD544=21,I544,0)</f>
        <v>0</v>
      </c>
      <c r="AD544" s="11">
        <v>21</v>
      </c>
      <c r="AE544" s="11">
        <f>F544*1</f>
        <v>0</v>
      </c>
      <c r="AF544" s="11">
        <f>F544*(1-1)</f>
        <v>0</v>
      </c>
      <c r="AG544" s="8" t="s">
        <v>504</v>
      </c>
      <c r="AM544" s="11">
        <f>E544*AE544</f>
        <v>0</v>
      </c>
      <c r="AN544" s="11">
        <f>E544*AF544</f>
        <v>0</v>
      </c>
      <c r="AO544" s="12" t="s">
        <v>205</v>
      </c>
      <c r="AP544" s="12" t="s">
        <v>229</v>
      </c>
      <c r="AQ544" s="6" t="s">
        <v>234</v>
      </c>
      <c r="AS544" s="11">
        <f>AM544+AN544</f>
        <v>0</v>
      </c>
      <c r="AT544" s="11">
        <f>F544/(100-AU544)*100</f>
        <v>0</v>
      </c>
      <c r="AU544" s="11">
        <v>0</v>
      </c>
      <c r="AV544" s="11">
        <f>K544</f>
        <v>0.96</v>
      </c>
    </row>
    <row r="545" spans="1:14" ht="12.75">
      <c r="A545" s="39"/>
      <c r="B545" s="39"/>
      <c r="C545" s="63" t="s">
        <v>537</v>
      </c>
      <c r="D545" s="39"/>
      <c r="E545" s="64">
        <v>40</v>
      </c>
      <c r="F545" s="39"/>
      <c r="G545" s="39"/>
      <c r="H545" s="39"/>
      <c r="I545" s="39"/>
      <c r="J545" s="39"/>
      <c r="K545" s="39"/>
      <c r="L545" s="39"/>
      <c r="M545" s="39"/>
      <c r="N545" s="39"/>
    </row>
    <row r="546" spans="1:48" ht="12.75">
      <c r="A546" s="59" t="s">
        <v>787</v>
      </c>
      <c r="B546" s="59" t="s">
        <v>1165</v>
      </c>
      <c r="C546" s="59" t="s">
        <v>1735</v>
      </c>
      <c r="D546" s="59" t="s">
        <v>144</v>
      </c>
      <c r="E546" s="60">
        <v>40</v>
      </c>
      <c r="F546" s="61"/>
      <c r="G546" s="61">
        <f>E546*AE546</f>
        <v>0</v>
      </c>
      <c r="H546" s="61">
        <f>I546-G546</f>
        <v>0</v>
      </c>
      <c r="I546" s="61">
        <f>E546*F546</f>
        <v>0</v>
      </c>
      <c r="J546" s="61">
        <v>0.00019</v>
      </c>
      <c r="K546" s="61">
        <f>E546*J546</f>
        <v>0.007600000000000001</v>
      </c>
      <c r="L546" s="62" t="s">
        <v>170</v>
      </c>
      <c r="M546" s="39"/>
      <c r="N546" s="39"/>
      <c r="P546" s="11">
        <f>IF(AG546="5",I546,0)</f>
        <v>0</v>
      </c>
      <c r="R546" s="11">
        <f>IF(AG546="1",G546,0)</f>
        <v>0</v>
      </c>
      <c r="S546" s="11">
        <f>IF(AG546="1",H546,0)</f>
        <v>0</v>
      </c>
      <c r="T546" s="11">
        <f>IF(AG546="7",G546,0)</f>
        <v>0</v>
      </c>
      <c r="U546" s="11">
        <f>IF(AG546="7",H546,0)</f>
        <v>0</v>
      </c>
      <c r="V546" s="11">
        <f>IF(AG546="2",G546,0)</f>
        <v>0</v>
      </c>
      <c r="W546" s="11">
        <f>IF(AG546="2",H546,0)</f>
        <v>0</v>
      </c>
      <c r="X546" s="11">
        <f>IF(AG546="0",I546,0)</f>
        <v>0</v>
      </c>
      <c r="Y546" s="6"/>
      <c r="Z546" s="4">
        <f>IF(AD546=0,I546,0)</f>
        <v>0</v>
      </c>
      <c r="AA546" s="4">
        <f>IF(AD546=15,I546,0)</f>
        <v>0</v>
      </c>
      <c r="AB546" s="4">
        <f>IF(AD546=21,I546,0)</f>
        <v>0</v>
      </c>
      <c r="AD546" s="11">
        <v>21</v>
      </c>
      <c r="AE546" s="11">
        <f>F546*0.0420183486238532</f>
        <v>0</v>
      </c>
      <c r="AF546" s="11">
        <f>F546*(1-0.0420183486238532)</f>
        <v>0</v>
      </c>
      <c r="AG546" s="7" t="s">
        <v>504</v>
      </c>
      <c r="AM546" s="11">
        <f>E546*AE546</f>
        <v>0</v>
      </c>
      <c r="AN546" s="11">
        <f>E546*AF546</f>
        <v>0</v>
      </c>
      <c r="AO546" s="12" t="s">
        <v>205</v>
      </c>
      <c r="AP546" s="12" t="s">
        <v>229</v>
      </c>
      <c r="AQ546" s="6" t="s">
        <v>234</v>
      </c>
      <c r="AS546" s="11">
        <f>AM546+AN546</f>
        <v>0</v>
      </c>
      <c r="AT546" s="11">
        <f>F546/(100-AU546)*100</f>
        <v>0</v>
      </c>
      <c r="AU546" s="11">
        <v>0</v>
      </c>
      <c r="AV546" s="11">
        <f>K546</f>
        <v>0.007600000000000001</v>
      </c>
    </row>
    <row r="547" spans="1:14" ht="12.75">
      <c r="A547" s="39"/>
      <c r="B547" s="39"/>
      <c r="C547" s="63" t="s">
        <v>537</v>
      </c>
      <c r="D547" s="39"/>
      <c r="E547" s="64">
        <v>40</v>
      </c>
      <c r="F547" s="39"/>
      <c r="G547" s="39"/>
      <c r="H547" s="39"/>
      <c r="I547" s="39"/>
      <c r="J547" s="39"/>
      <c r="K547" s="39"/>
      <c r="L547" s="39"/>
      <c r="M547" s="39"/>
      <c r="N547" s="39"/>
    </row>
    <row r="548" spans="1:48" ht="12.75">
      <c r="A548" s="59" t="s">
        <v>788</v>
      </c>
      <c r="B548" s="59" t="s">
        <v>1166</v>
      </c>
      <c r="C548" s="59" t="s">
        <v>1736</v>
      </c>
      <c r="D548" s="59" t="s">
        <v>143</v>
      </c>
      <c r="E548" s="60">
        <v>2.296</v>
      </c>
      <c r="F548" s="61"/>
      <c r="G548" s="61">
        <f>E548*AE548</f>
        <v>0</v>
      </c>
      <c r="H548" s="61">
        <f>I548-G548</f>
        <v>0</v>
      </c>
      <c r="I548" s="61">
        <f>E548*F548</f>
        <v>0</v>
      </c>
      <c r="J548" s="61">
        <v>0</v>
      </c>
      <c r="K548" s="61">
        <f>E548*J548</f>
        <v>0</v>
      </c>
      <c r="L548" s="62" t="s">
        <v>170</v>
      </c>
      <c r="M548" s="39"/>
      <c r="N548" s="39"/>
      <c r="P548" s="11">
        <f>IF(AG548="5",I548,0)</f>
        <v>0</v>
      </c>
      <c r="R548" s="11">
        <f>IF(AG548="1",G548,0)</f>
        <v>0</v>
      </c>
      <c r="S548" s="11">
        <f>IF(AG548="1",H548,0)</f>
        <v>0</v>
      </c>
      <c r="T548" s="11">
        <f>IF(AG548="7",G548,0)</f>
        <v>0</v>
      </c>
      <c r="U548" s="11">
        <f>IF(AG548="7",H548,0)</f>
        <v>0</v>
      </c>
      <c r="V548" s="11">
        <f>IF(AG548="2",G548,0)</f>
        <v>0</v>
      </c>
      <c r="W548" s="11">
        <f>IF(AG548="2",H548,0)</f>
        <v>0</v>
      </c>
      <c r="X548" s="11">
        <f>IF(AG548="0",I548,0)</f>
        <v>0</v>
      </c>
      <c r="Y548" s="6"/>
      <c r="Z548" s="4">
        <f>IF(AD548=0,I548,0)</f>
        <v>0</v>
      </c>
      <c r="AA548" s="4">
        <f>IF(AD548=15,I548,0)</f>
        <v>0</v>
      </c>
      <c r="AB548" s="4">
        <f>IF(AD548=21,I548,0)</f>
        <v>0</v>
      </c>
      <c r="AD548" s="11">
        <v>21</v>
      </c>
      <c r="AE548" s="11">
        <f>F548*0</f>
        <v>0</v>
      </c>
      <c r="AF548" s="11">
        <f>F548*(1-0)</f>
        <v>0</v>
      </c>
      <c r="AG548" s="7" t="s">
        <v>502</v>
      </c>
      <c r="AM548" s="11">
        <f>E548*AE548</f>
        <v>0</v>
      </c>
      <c r="AN548" s="11">
        <f>E548*AF548</f>
        <v>0</v>
      </c>
      <c r="AO548" s="12" t="s">
        <v>205</v>
      </c>
      <c r="AP548" s="12" t="s">
        <v>229</v>
      </c>
      <c r="AQ548" s="6" t="s">
        <v>234</v>
      </c>
      <c r="AS548" s="11">
        <f>AM548+AN548</f>
        <v>0</v>
      </c>
      <c r="AT548" s="11">
        <f>F548/(100-AU548)*100</f>
        <v>0</v>
      </c>
      <c r="AU548" s="11">
        <v>0</v>
      </c>
      <c r="AV548" s="11">
        <f>K548</f>
        <v>0</v>
      </c>
    </row>
    <row r="549" spans="1:37" ht="12.75">
      <c r="A549" s="66"/>
      <c r="B549" s="67" t="s">
        <v>1167</v>
      </c>
      <c r="C549" s="305" t="s">
        <v>1737</v>
      </c>
      <c r="D549" s="306"/>
      <c r="E549" s="306"/>
      <c r="F549" s="306"/>
      <c r="G549" s="68">
        <f>SUM(G550:G599)</f>
        <v>0</v>
      </c>
      <c r="H549" s="68">
        <f>SUM(H550:H599)</f>
        <v>0</v>
      </c>
      <c r="I549" s="68">
        <f>G549+H549</f>
        <v>0</v>
      </c>
      <c r="J549" s="69"/>
      <c r="K549" s="68">
        <f>SUM(K550:K599)</f>
        <v>7.442973559999999</v>
      </c>
      <c r="L549" s="69"/>
      <c r="M549" s="39"/>
      <c r="N549" s="39"/>
      <c r="Y549" s="6"/>
      <c r="AI549" s="13">
        <f>SUM(Z550:Z599)</f>
        <v>0</v>
      </c>
      <c r="AJ549" s="13">
        <f>SUM(AA550:AA599)</f>
        <v>0</v>
      </c>
      <c r="AK549" s="13">
        <f>SUM(AB550:AB599)</f>
        <v>0</v>
      </c>
    </row>
    <row r="550" spans="1:48" ht="12.75">
      <c r="A550" s="59" t="s">
        <v>789</v>
      </c>
      <c r="B550" s="59" t="s">
        <v>1168</v>
      </c>
      <c r="C550" s="59" t="s">
        <v>1738</v>
      </c>
      <c r="D550" s="59" t="s">
        <v>142</v>
      </c>
      <c r="E550" s="60">
        <v>342.054</v>
      </c>
      <c r="F550" s="61"/>
      <c r="G550" s="61">
        <f>E550*AE550</f>
        <v>0</v>
      </c>
      <c r="H550" s="61">
        <f>I550-G550</f>
        <v>0</v>
      </c>
      <c r="I550" s="61">
        <f>E550*F550</f>
        <v>0</v>
      </c>
      <c r="J550" s="61">
        <v>0.007</v>
      </c>
      <c r="K550" s="61">
        <f>E550*J550</f>
        <v>2.3943779999999997</v>
      </c>
      <c r="L550" s="62" t="s">
        <v>170</v>
      </c>
      <c r="M550" s="39"/>
      <c r="N550" s="39"/>
      <c r="P550" s="11">
        <f>IF(AG550="5",I550,0)</f>
        <v>0</v>
      </c>
      <c r="R550" s="11">
        <f>IF(AG550="1",G550,0)</f>
        <v>0</v>
      </c>
      <c r="S550" s="11">
        <f>IF(AG550="1",H550,0)</f>
        <v>0</v>
      </c>
      <c r="T550" s="11">
        <f>IF(AG550="7",G550,0)</f>
        <v>0</v>
      </c>
      <c r="U550" s="11">
        <f>IF(AG550="7",H550,0)</f>
        <v>0</v>
      </c>
      <c r="V550" s="11">
        <f>IF(AG550="2",G550,0)</f>
        <v>0</v>
      </c>
      <c r="W550" s="11">
        <f>IF(AG550="2",H550,0)</f>
        <v>0</v>
      </c>
      <c r="X550" s="11">
        <f>IF(AG550="0",I550,0)</f>
        <v>0</v>
      </c>
      <c r="Y550" s="6"/>
      <c r="Z550" s="4">
        <f>IF(AD550=0,I550,0)</f>
        <v>0</v>
      </c>
      <c r="AA550" s="4">
        <f>IF(AD550=15,I550,0)</f>
        <v>0</v>
      </c>
      <c r="AB550" s="4">
        <f>IF(AD550=21,I550,0)</f>
        <v>0</v>
      </c>
      <c r="AD550" s="11">
        <v>21</v>
      </c>
      <c r="AE550" s="11">
        <f>F550*0</f>
        <v>0</v>
      </c>
      <c r="AF550" s="11">
        <f>F550*(1-0)</f>
        <v>0</v>
      </c>
      <c r="AG550" s="7" t="s">
        <v>504</v>
      </c>
      <c r="AM550" s="11">
        <f>E550*AE550</f>
        <v>0</v>
      </c>
      <c r="AN550" s="11">
        <f>E550*AF550</f>
        <v>0</v>
      </c>
      <c r="AO550" s="12" t="s">
        <v>206</v>
      </c>
      <c r="AP550" s="12" t="s">
        <v>229</v>
      </c>
      <c r="AQ550" s="6" t="s">
        <v>234</v>
      </c>
      <c r="AS550" s="11">
        <f>AM550+AN550</f>
        <v>0</v>
      </c>
      <c r="AT550" s="11">
        <f>F550/(100-AU550)*100</f>
        <v>0</v>
      </c>
      <c r="AU550" s="11">
        <v>0</v>
      </c>
      <c r="AV550" s="11">
        <f>K550</f>
        <v>2.3943779999999997</v>
      </c>
    </row>
    <row r="551" spans="1:14" ht="12.75">
      <c r="A551" s="39"/>
      <c r="B551" s="39"/>
      <c r="C551" s="63" t="s">
        <v>1739</v>
      </c>
      <c r="D551" s="39"/>
      <c r="E551" s="64">
        <v>342.054</v>
      </c>
      <c r="F551" s="39"/>
      <c r="G551" s="39"/>
      <c r="H551" s="39"/>
      <c r="I551" s="39"/>
      <c r="J551" s="39"/>
      <c r="K551" s="39"/>
      <c r="L551" s="39"/>
      <c r="M551" s="39"/>
      <c r="N551" s="39"/>
    </row>
    <row r="552" spans="1:48" ht="12.75">
      <c r="A552" s="59" t="s">
        <v>790</v>
      </c>
      <c r="B552" s="59" t="s">
        <v>1169</v>
      </c>
      <c r="C552" s="59" t="s">
        <v>1740</v>
      </c>
      <c r="D552" s="59" t="s">
        <v>142</v>
      </c>
      <c r="E552" s="60">
        <v>345.96</v>
      </c>
      <c r="F552" s="61"/>
      <c r="G552" s="61">
        <f>E552*AE552</f>
        <v>0</v>
      </c>
      <c r="H552" s="61">
        <f>I552-G552</f>
        <v>0</v>
      </c>
      <c r="I552" s="61">
        <f>E552*F552</f>
        <v>0</v>
      </c>
      <c r="J552" s="61">
        <v>0.00071</v>
      </c>
      <c r="K552" s="61">
        <f>E552*J552</f>
        <v>0.2456316</v>
      </c>
      <c r="L552" s="62" t="s">
        <v>170</v>
      </c>
      <c r="M552" s="39"/>
      <c r="N552" s="39"/>
      <c r="P552" s="11">
        <f>IF(AG552="5",I552,0)</f>
        <v>0</v>
      </c>
      <c r="R552" s="11">
        <f>IF(AG552="1",G552,0)</f>
        <v>0</v>
      </c>
      <c r="S552" s="11">
        <f>IF(AG552="1",H552,0)</f>
        <v>0</v>
      </c>
      <c r="T552" s="11">
        <f>IF(AG552="7",G552,0)</f>
        <v>0</v>
      </c>
      <c r="U552" s="11">
        <f>IF(AG552="7",H552,0)</f>
        <v>0</v>
      </c>
      <c r="V552" s="11">
        <f>IF(AG552="2",G552,0)</f>
        <v>0</v>
      </c>
      <c r="W552" s="11">
        <f>IF(AG552="2",H552,0)</f>
        <v>0</v>
      </c>
      <c r="X552" s="11">
        <f>IF(AG552="0",I552,0)</f>
        <v>0</v>
      </c>
      <c r="Y552" s="6"/>
      <c r="Z552" s="4">
        <f>IF(AD552=0,I552,0)</f>
        <v>0</v>
      </c>
      <c r="AA552" s="4">
        <f>IF(AD552=15,I552,0)</f>
        <v>0</v>
      </c>
      <c r="AB552" s="4">
        <f>IF(AD552=21,I552,0)</f>
        <v>0</v>
      </c>
      <c r="AD552" s="11">
        <v>21</v>
      </c>
      <c r="AE552" s="11">
        <f>F552*0.210838709677419</f>
        <v>0</v>
      </c>
      <c r="AF552" s="11">
        <f>F552*(1-0.210838709677419)</f>
        <v>0</v>
      </c>
      <c r="AG552" s="7" t="s">
        <v>504</v>
      </c>
      <c r="AM552" s="11">
        <f>E552*AE552</f>
        <v>0</v>
      </c>
      <c r="AN552" s="11">
        <f>E552*AF552</f>
        <v>0</v>
      </c>
      <c r="AO552" s="12" t="s">
        <v>206</v>
      </c>
      <c r="AP552" s="12" t="s">
        <v>229</v>
      </c>
      <c r="AQ552" s="6" t="s">
        <v>234</v>
      </c>
      <c r="AS552" s="11">
        <f>AM552+AN552</f>
        <v>0</v>
      </c>
      <c r="AT552" s="11">
        <f>F552/(100-AU552)*100</f>
        <v>0</v>
      </c>
      <c r="AU552" s="11">
        <v>0</v>
      </c>
      <c r="AV552" s="11">
        <f>K552</f>
        <v>0.2456316</v>
      </c>
    </row>
    <row r="553" spans="1:14" ht="12.75">
      <c r="A553" s="39"/>
      <c r="B553" s="39"/>
      <c r="C553" s="63" t="s">
        <v>1545</v>
      </c>
      <c r="D553" s="39"/>
      <c r="E553" s="64">
        <v>345.96</v>
      </c>
      <c r="F553" s="39"/>
      <c r="G553" s="39"/>
      <c r="H553" s="39"/>
      <c r="I553" s="39"/>
      <c r="J553" s="39"/>
      <c r="K553" s="39"/>
      <c r="L553" s="39"/>
      <c r="M553" s="39"/>
      <c r="N553" s="39"/>
    </row>
    <row r="554" spans="1:48" ht="12.75">
      <c r="A554" s="70" t="s">
        <v>791</v>
      </c>
      <c r="B554" s="70" t="s">
        <v>1170</v>
      </c>
      <c r="C554" s="70" t="s">
        <v>1741</v>
      </c>
      <c r="D554" s="70" t="s">
        <v>142</v>
      </c>
      <c r="E554" s="71">
        <v>373.637</v>
      </c>
      <c r="F554" s="72"/>
      <c r="G554" s="72">
        <f>E554*AE554</f>
        <v>0</v>
      </c>
      <c r="H554" s="72">
        <f>I554-G554</f>
        <v>0</v>
      </c>
      <c r="I554" s="72">
        <f>E554*F554</f>
        <v>0</v>
      </c>
      <c r="J554" s="72">
        <v>0.00982</v>
      </c>
      <c r="K554" s="72">
        <f>E554*J554</f>
        <v>3.6691153400000003</v>
      </c>
      <c r="L554" s="73" t="s">
        <v>170</v>
      </c>
      <c r="M554" s="39"/>
      <c r="N554" s="39"/>
      <c r="P554" s="11">
        <f>IF(AG554="5",I554,0)</f>
        <v>0</v>
      </c>
      <c r="R554" s="11">
        <f>IF(AG554="1",G554,0)</f>
        <v>0</v>
      </c>
      <c r="S554" s="11">
        <f>IF(AG554="1",H554,0)</f>
        <v>0</v>
      </c>
      <c r="T554" s="11">
        <f>IF(AG554="7",G554,0)</f>
        <v>0</v>
      </c>
      <c r="U554" s="11">
        <f>IF(AG554="7",H554,0)</f>
        <v>0</v>
      </c>
      <c r="V554" s="11">
        <f>IF(AG554="2",G554,0)</f>
        <v>0</v>
      </c>
      <c r="W554" s="11">
        <f>IF(AG554="2",H554,0)</f>
        <v>0</v>
      </c>
      <c r="X554" s="11">
        <f>IF(AG554="0",I554,0)</f>
        <v>0</v>
      </c>
      <c r="Y554" s="6"/>
      <c r="Z554" s="5">
        <f>IF(AD554=0,I554,0)</f>
        <v>0</v>
      </c>
      <c r="AA554" s="5">
        <f>IF(AD554=15,I554,0)</f>
        <v>0</v>
      </c>
      <c r="AB554" s="5">
        <f>IF(AD554=21,I554,0)</f>
        <v>0</v>
      </c>
      <c r="AD554" s="11">
        <v>21</v>
      </c>
      <c r="AE554" s="11">
        <f>F554*1</f>
        <v>0</v>
      </c>
      <c r="AF554" s="11">
        <f>F554*(1-1)</f>
        <v>0</v>
      </c>
      <c r="AG554" s="8" t="s">
        <v>504</v>
      </c>
      <c r="AM554" s="11">
        <f>E554*AE554</f>
        <v>0</v>
      </c>
      <c r="AN554" s="11">
        <f>E554*AF554</f>
        <v>0</v>
      </c>
      <c r="AO554" s="12" t="s">
        <v>206</v>
      </c>
      <c r="AP554" s="12" t="s">
        <v>229</v>
      </c>
      <c r="AQ554" s="6" t="s">
        <v>234</v>
      </c>
      <c r="AS554" s="11">
        <f>AM554+AN554</f>
        <v>0</v>
      </c>
      <c r="AT554" s="11">
        <f>F554/(100-AU554)*100</f>
        <v>0</v>
      </c>
      <c r="AU554" s="11">
        <v>0</v>
      </c>
      <c r="AV554" s="11">
        <f>K554</f>
        <v>3.6691153400000003</v>
      </c>
    </row>
    <row r="555" spans="1:14" ht="12.75">
      <c r="A555" s="39"/>
      <c r="B555" s="39"/>
      <c r="C555" s="63" t="s">
        <v>1547</v>
      </c>
      <c r="D555" s="39"/>
      <c r="E555" s="64">
        <v>345.96</v>
      </c>
      <c r="F555" s="39"/>
      <c r="G555" s="39"/>
      <c r="H555" s="39"/>
      <c r="I555" s="39"/>
      <c r="J555" s="39"/>
      <c r="K555" s="39"/>
      <c r="L555" s="39"/>
      <c r="M555" s="39"/>
      <c r="N555" s="39"/>
    </row>
    <row r="556" spans="1:14" ht="12.75">
      <c r="A556" s="39"/>
      <c r="B556" s="39"/>
      <c r="C556" s="63" t="s">
        <v>1742</v>
      </c>
      <c r="D556" s="39"/>
      <c r="E556" s="64">
        <v>27.677</v>
      </c>
      <c r="F556" s="39"/>
      <c r="G556" s="39"/>
      <c r="H556" s="39"/>
      <c r="I556" s="39"/>
      <c r="J556" s="39"/>
      <c r="K556" s="39"/>
      <c r="L556" s="39"/>
      <c r="M556" s="39"/>
      <c r="N556" s="39"/>
    </row>
    <row r="557" spans="1:48" ht="12.75">
      <c r="A557" s="59" t="s">
        <v>792</v>
      </c>
      <c r="B557" s="59" t="s">
        <v>1171</v>
      </c>
      <c r="C557" s="59" t="s">
        <v>1743</v>
      </c>
      <c r="D557" s="59" t="s">
        <v>144</v>
      </c>
      <c r="E557" s="60">
        <v>2</v>
      </c>
      <c r="F557" s="61"/>
      <c r="G557" s="61">
        <f>E557*AE557</f>
        <v>0</v>
      </c>
      <c r="H557" s="61">
        <f>I557-G557</f>
        <v>0</v>
      </c>
      <c r="I557" s="61">
        <f>E557*F557</f>
        <v>0</v>
      </c>
      <c r="J557" s="61">
        <v>0.0516</v>
      </c>
      <c r="K557" s="61">
        <f>E557*J557</f>
        <v>0.1032</v>
      </c>
      <c r="L557" s="62" t="s">
        <v>170</v>
      </c>
      <c r="M557" s="39"/>
      <c r="N557" s="39"/>
      <c r="P557" s="11">
        <f>IF(AG557="5",I557,0)</f>
        <v>0</v>
      </c>
      <c r="R557" s="11">
        <f>IF(AG557="1",G557,0)</f>
        <v>0</v>
      </c>
      <c r="S557" s="11">
        <f>IF(AG557="1",H557,0)</f>
        <v>0</v>
      </c>
      <c r="T557" s="11">
        <f>IF(AG557="7",G557,0)</f>
        <v>0</v>
      </c>
      <c r="U557" s="11">
        <f>IF(AG557="7",H557,0)</f>
        <v>0</v>
      </c>
      <c r="V557" s="11">
        <f>IF(AG557="2",G557,0)</f>
        <v>0</v>
      </c>
      <c r="W557" s="11">
        <f>IF(AG557="2",H557,0)</f>
        <v>0</v>
      </c>
      <c r="X557" s="11">
        <f>IF(AG557="0",I557,0)</f>
        <v>0</v>
      </c>
      <c r="Y557" s="6"/>
      <c r="Z557" s="4">
        <f>IF(AD557=0,I557,0)</f>
        <v>0</v>
      </c>
      <c r="AA557" s="4">
        <f>IF(AD557=15,I557,0)</f>
        <v>0</v>
      </c>
      <c r="AB557" s="4">
        <f>IF(AD557=21,I557,0)</f>
        <v>0</v>
      </c>
      <c r="AD557" s="11">
        <v>21</v>
      </c>
      <c r="AE557" s="11">
        <f>F557*0.884768114356888</f>
        <v>0</v>
      </c>
      <c r="AF557" s="11">
        <f>F557*(1-0.884768114356888)</f>
        <v>0</v>
      </c>
      <c r="AG557" s="7" t="s">
        <v>504</v>
      </c>
      <c r="AM557" s="11">
        <f>E557*AE557</f>
        <v>0</v>
      </c>
      <c r="AN557" s="11">
        <f>E557*AF557</f>
        <v>0</v>
      </c>
      <c r="AO557" s="12" t="s">
        <v>206</v>
      </c>
      <c r="AP557" s="12" t="s">
        <v>229</v>
      </c>
      <c r="AQ557" s="6" t="s">
        <v>234</v>
      </c>
      <c r="AS557" s="11">
        <f>AM557+AN557</f>
        <v>0</v>
      </c>
      <c r="AT557" s="11">
        <f>F557/(100-AU557)*100</f>
        <v>0</v>
      </c>
      <c r="AU557" s="11">
        <v>0</v>
      </c>
      <c r="AV557" s="11">
        <f>K557</f>
        <v>0.1032</v>
      </c>
    </row>
    <row r="558" spans="1:14" ht="12.75">
      <c r="A558" s="39"/>
      <c r="B558" s="39"/>
      <c r="C558" s="63" t="s">
        <v>499</v>
      </c>
      <c r="D558" s="39"/>
      <c r="E558" s="64">
        <v>2</v>
      </c>
      <c r="F558" s="39"/>
      <c r="G558" s="39"/>
      <c r="H558" s="39"/>
      <c r="I558" s="39"/>
      <c r="J558" s="39"/>
      <c r="K558" s="39"/>
      <c r="L558" s="39"/>
      <c r="M558" s="39"/>
      <c r="N558" s="39"/>
    </row>
    <row r="559" spans="1:48" ht="12.75">
      <c r="A559" s="59" t="s">
        <v>793</v>
      </c>
      <c r="B559" s="59" t="s">
        <v>1172</v>
      </c>
      <c r="C559" s="59" t="s">
        <v>1744</v>
      </c>
      <c r="D559" s="59" t="s">
        <v>144</v>
      </c>
      <c r="E559" s="60">
        <v>1</v>
      </c>
      <c r="F559" s="61"/>
      <c r="G559" s="61">
        <f>E559*AE559</f>
        <v>0</v>
      </c>
      <c r="H559" s="61">
        <f>I559-G559</f>
        <v>0</v>
      </c>
      <c r="I559" s="61">
        <f>E559*F559</f>
        <v>0</v>
      </c>
      <c r="J559" s="61">
        <v>0</v>
      </c>
      <c r="K559" s="61">
        <f>E559*J559</f>
        <v>0</v>
      </c>
      <c r="L559" s="62" t="s">
        <v>170</v>
      </c>
      <c r="M559" s="39"/>
      <c r="N559" s="39"/>
      <c r="P559" s="11">
        <f>IF(AG559="5",I559,0)</f>
        <v>0</v>
      </c>
      <c r="R559" s="11">
        <f>IF(AG559="1",G559,0)</f>
        <v>0</v>
      </c>
      <c r="S559" s="11">
        <f>IF(AG559="1",H559,0)</f>
        <v>0</v>
      </c>
      <c r="T559" s="11">
        <f>IF(AG559="7",G559,0)</f>
        <v>0</v>
      </c>
      <c r="U559" s="11">
        <f>IF(AG559="7",H559,0)</f>
        <v>0</v>
      </c>
      <c r="V559" s="11">
        <f>IF(AG559="2",G559,0)</f>
        <v>0</v>
      </c>
      <c r="W559" s="11">
        <f>IF(AG559="2",H559,0)</f>
        <v>0</v>
      </c>
      <c r="X559" s="11">
        <f>IF(AG559="0",I559,0)</f>
        <v>0</v>
      </c>
      <c r="Y559" s="6"/>
      <c r="Z559" s="4">
        <f>IF(AD559=0,I559,0)</f>
        <v>0</v>
      </c>
      <c r="AA559" s="4">
        <f>IF(AD559=15,I559,0)</f>
        <v>0</v>
      </c>
      <c r="AB559" s="4">
        <f>IF(AD559=21,I559,0)</f>
        <v>0</v>
      </c>
      <c r="AD559" s="11">
        <v>21</v>
      </c>
      <c r="AE559" s="11">
        <f>F559*0.000573236237022569</f>
        <v>0</v>
      </c>
      <c r="AF559" s="11">
        <f>F559*(1-0.000573236237022569)</f>
        <v>0</v>
      </c>
      <c r="AG559" s="7" t="s">
        <v>504</v>
      </c>
      <c r="AM559" s="11">
        <f>E559*AE559</f>
        <v>0</v>
      </c>
      <c r="AN559" s="11">
        <f>E559*AF559</f>
        <v>0</v>
      </c>
      <c r="AO559" s="12" t="s">
        <v>206</v>
      </c>
      <c r="AP559" s="12" t="s">
        <v>229</v>
      </c>
      <c r="AQ559" s="6" t="s">
        <v>234</v>
      </c>
      <c r="AS559" s="11">
        <f>AM559+AN559</f>
        <v>0</v>
      </c>
      <c r="AT559" s="11">
        <f>F559/(100-AU559)*100</f>
        <v>0</v>
      </c>
      <c r="AU559" s="11">
        <v>0</v>
      </c>
      <c r="AV559" s="11">
        <f>K559</f>
        <v>0</v>
      </c>
    </row>
    <row r="560" spans="1:14" ht="12.75">
      <c r="A560" s="39"/>
      <c r="B560" s="39"/>
      <c r="C560" s="63" t="s">
        <v>498</v>
      </c>
      <c r="D560" s="39"/>
      <c r="E560" s="64">
        <v>1</v>
      </c>
      <c r="F560" s="39"/>
      <c r="G560" s="39"/>
      <c r="H560" s="39"/>
      <c r="I560" s="39"/>
      <c r="J560" s="39"/>
      <c r="K560" s="39"/>
      <c r="L560" s="39"/>
      <c r="M560" s="39"/>
      <c r="N560" s="39"/>
    </row>
    <row r="561" spans="1:48" ht="12.75">
      <c r="A561" s="59" t="s">
        <v>794</v>
      </c>
      <c r="B561" s="59" t="s">
        <v>1173</v>
      </c>
      <c r="C561" s="59" t="s">
        <v>1745</v>
      </c>
      <c r="D561" s="59" t="s">
        <v>144</v>
      </c>
      <c r="E561" s="60">
        <v>1</v>
      </c>
      <c r="F561" s="61"/>
      <c r="G561" s="61">
        <f>E561*AE561</f>
        <v>0</v>
      </c>
      <c r="H561" s="61">
        <f>I561-G561</f>
        <v>0</v>
      </c>
      <c r="I561" s="61">
        <f>E561*F561</f>
        <v>0</v>
      </c>
      <c r="J561" s="61">
        <v>0.00043</v>
      </c>
      <c r="K561" s="61">
        <f>E561*J561</f>
        <v>0.00043</v>
      </c>
      <c r="L561" s="62" t="s">
        <v>170</v>
      </c>
      <c r="M561" s="39"/>
      <c r="N561" s="39"/>
      <c r="P561" s="11">
        <f>IF(AG561="5",I561,0)</f>
        <v>0</v>
      </c>
      <c r="R561" s="11">
        <f>IF(AG561="1",G561,0)</f>
        <v>0</v>
      </c>
      <c r="S561" s="11">
        <f>IF(AG561="1",H561,0)</f>
        <v>0</v>
      </c>
      <c r="T561" s="11">
        <f>IF(AG561="7",G561,0)</f>
        <v>0</v>
      </c>
      <c r="U561" s="11">
        <f>IF(AG561="7",H561,0)</f>
        <v>0</v>
      </c>
      <c r="V561" s="11">
        <f>IF(AG561="2",G561,0)</f>
        <v>0</v>
      </c>
      <c r="W561" s="11">
        <f>IF(AG561="2",H561,0)</f>
        <v>0</v>
      </c>
      <c r="X561" s="11">
        <f>IF(AG561="0",I561,0)</f>
        <v>0</v>
      </c>
      <c r="Y561" s="6"/>
      <c r="Z561" s="4">
        <f>IF(AD561=0,I561,0)</f>
        <v>0</v>
      </c>
      <c r="AA561" s="4">
        <f>IF(AD561=15,I561,0)</f>
        <v>0</v>
      </c>
      <c r="AB561" s="4">
        <f>IF(AD561=21,I561,0)</f>
        <v>0</v>
      </c>
      <c r="AD561" s="11">
        <v>21</v>
      </c>
      <c r="AE561" s="11">
        <f>F561*0.0403022222222222</f>
        <v>0</v>
      </c>
      <c r="AF561" s="11">
        <f>F561*(1-0.0403022222222222)</f>
        <v>0</v>
      </c>
      <c r="AG561" s="7" t="s">
        <v>504</v>
      </c>
      <c r="AM561" s="11">
        <f>E561*AE561</f>
        <v>0</v>
      </c>
      <c r="AN561" s="11">
        <f>E561*AF561</f>
        <v>0</v>
      </c>
      <c r="AO561" s="12" t="s">
        <v>206</v>
      </c>
      <c r="AP561" s="12" t="s">
        <v>229</v>
      </c>
      <c r="AQ561" s="6" t="s">
        <v>234</v>
      </c>
      <c r="AS561" s="11">
        <f>AM561+AN561</f>
        <v>0</v>
      </c>
      <c r="AT561" s="11">
        <f>F561/(100-AU561)*100</f>
        <v>0</v>
      </c>
      <c r="AU561" s="11">
        <v>0</v>
      </c>
      <c r="AV561" s="11">
        <f>K561</f>
        <v>0.00043</v>
      </c>
    </row>
    <row r="562" spans="1:14" ht="12.75">
      <c r="A562" s="39"/>
      <c r="B562" s="39"/>
      <c r="C562" s="63" t="s">
        <v>498</v>
      </c>
      <c r="D562" s="39"/>
      <c r="E562" s="64">
        <v>1</v>
      </c>
      <c r="F562" s="39"/>
      <c r="G562" s="39"/>
      <c r="H562" s="39"/>
      <c r="I562" s="39"/>
      <c r="J562" s="39"/>
      <c r="K562" s="39"/>
      <c r="L562" s="39"/>
      <c r="M562" s="39"/>
      <c r="N562" s="39"/>
    </row>
    <row r="563" spans="1:48" ht="12.75">
      <c r="A563" s="70" t="s">
        <v>795</v>
      </c>
      <c r="B563" s="70" t="s">
        <v>1174</v>
      </c>
      <c r="C563" s="70" t="s">
        <v>1746</v>
      </c>
      <c r="D563" s="70" t="s">
        <v>144</v>
      </c>
      <c r="E563" s="71">
        <v>1</v>
      </c>
      <c r="F563" s="72"/>
      <c r="G563" s="72">
        <f>E563*AE563</f>
        <v>0</v>
      </c>
      <c r="H563" s="72">
        <f>I563-G563</f>
        <v>0</v>
      </c>
      <c r="I563" s="72">
        <f>E563*F563</f>
        <v>0</v>
      </c>
      <c r="J563" s="72">
        <v>0.3205</v>
      </c>
      <c r="K563" s="72">
        <f>E563*J563</f>
        <v>0.3205</v>
      </c>
      <c r="L563" s="73" t="s">
        <v>170</v>
      </c>
      <c r="M563" s="39"/>
      <c r="N563" s="39"/>
      <c r="P563" s="11">
        <f>IF(AG563="5",I563,0)</f>
        <v>0</v>
      </c>
      <c r="R563" s="11">
        <f>IF(AG563="1",G563,0)</f>
        <v>0</v>
      </c>
      <c r="S563" s="11">
        <f>IF(AG563="1",H563,0)</f>
        <v>0</v>
      </c>
      <c r="T563" s="11">
        <f>IF(AG563="7",G563,0)</f>
        <v>0</v>
      </c>
      <c r="U563" s="11">
        <f>IF(AG563="7",H563,0)</f>
        <v>0</v>
      </c>
      <c r="V563" s="11">
        <f>IF(AG563="2",G563,0)</f>
        <v>0</v>
      </c>
      <c r="W563" s="11">
        <f>IF(AG563="2",H563,0)</f>
        <v>0</v>
      </c>
      <c r="X563" s="11">
        <f>IF(AG563="0",I563,0)</f>
        <v>0</v>
      </c>
      <c r="Y563" s="6"/>
      <c r="Z563" s="5">
        <f>IF(AD563=0,I563,0)</f>
        <v>0</v>
      </c>
      <c r="AA563" s="5">
        <f>IF(AD563=15,I563,0)</f>
        <v>0</v>
      </c>
      <c r="AB563" s="5">
        <f>IF(AD563=21,I563,0)</f>
        <v>0</v>
      </c>
      <c r="AD563" s="11">
        <v>21</v>
      </c>
      <c r="AE563" s="11">
        <f>F563*1</f>
        <v>0</v>
      </c>
      <c r="AF563" s="11">
        <f>F563*(1-1)</f>
        <v>0</v>
      </c>
      <c r="AG563" s="8" t="s">
        <v>504</v>
      </c>
      <c r="AM563" s="11">
        <f>E563*AE563</f>
        <v>0</v>
      </c>
      <c r="AN563" s="11">
        <f>E563*AF563</f>
        <v>0</v>
      </c>
      <c r="AO563" s="12" t="s">
        <v>206</v>
      </c>
      <c r="AP563" s="12" t="s">
        <v>229</v>
      </c>
      <c r="AQ563" s="6" t="s">
        <v>234</v>
      </c>
      <c r="AS563" s="11">
        <f>AM563+AN563</f>
        <v>0</v>
      </c>
      <c r="AT563" s="11">
        <f>F563/(100-AU563)*100</f>
        <v>0</v>
      </c>
      <c r="AU563" s="11">
        <v>0</v>
      </c>
      <c r="AV563" s="11">
        <f>K563</f>
        <v>0.3205</v>
      </c>
    </row>
    <row r="564" spans="1:14" ht="12.75">
      <c r="A564" s="39"/>
      <c r="B564" s="39"/>
      <c r="C564" s="63" t="s">
        <v>498</v>
      </c>
      <c r="D564" s="39"/>
      <c r="E564" s="64">
        <v>1</v>
      </c>
      <c r="F564" s="39"/>
      <c r="G564" s="39"/>
      <c r="H564" s="39"/>
      <c r="I564" s="39"/>
      <c r="J564" s="39"/>
      <c r="K564" s="39"/>
      <c r="L564" s="39"/>
      <c r="M564" s="39"/>
      <c r="N564" s="39"/>
    </row>
    <row r="565" spans="1:48" ht="12.75">
      <c r="A565" s="59" t="s">
        <v>796</v>
      </c>
      <c r="B565" s="59" t="s">
        <v>1175</v>
      </c>
      <c r="C565" s="59" t="s">
        <v>1747</v>
      </c>
      <c r="D565" s="59" t="s">
        <v>144</v>
      </c>
      <c r="E565" s="60">
        <v>1</v>
      </c>
      <c r="F565" s="61"/>
      <c r="G565" s="61">
        <f>E565*AE565</f>
        <v>0</v>
      </c>
      <c r="H565" s="61">
        <f>I565-G565</f>
        <v>0</v>
      </c>
      <c r="I565" s="61">
        <f>E565*F565</f>
        <v>0</v>
      </c>
      <c r="J565" s="61">
        <v>0.05744</v>
      </c>
      <c r="K565" s="61">
        <f>E565*J565</f>
        <v>0.05744</v>
      </c>
      <c r="L565" s="62" t="s">
        <v>170</v>
      </c>
      <c r="M565" s="39"/>
      <c r="N565" s="39"/>
      <c r="P565" s="11">
        <f>IF(AG565="5",I565,0)</f>
        <v>0</v>
      </c>
      <c r="R565" s="11">
        <f>IF(AG565="1",G565,0)</f>
        <v>0</v>
      </c>
      <c r="S565" s="11">
        <f>IF(AG565="1",H565,0)</f>
        <v>0</v>
      </c>
      <c r="T565" s="11">
        <f>IF(AG565="7",G565,0)</f>
        <v>0</v>
      </c>
      <c r="U565" s="11">
        <f>IF(AG565="7",H565,0)</f>
        <v>0</v>
      </c>
      <c r="V565" s="11">
        <f>IF(AG565="2",G565,0)</f>
        <v>0</v>
      </c>
      <c r="W565" s="11">
        <f>IF(AG565="2",H565,0)</f>
        <v>0</v>
      </c>
      <c r="X565" s="11">
        <f>IF(AG565="0",I565,0)</f>
        <v>0</v>
      </c>
      <c r="Y565" s="6"/>
      <c r="Z565" s="4">
        <f>IF(AD565=0,I565,0)</f>
        <v>0</v>
      </c>
      <c r="AA565" s="4">
        <f>IF(AD565=15,I565,0)</f>
        <v>0</v>
      </c>
      <c r="AB565" s="4">
        <f>IF(AD565=21,I565,0)</f>
        <v>0</v>
      </c>
      <c r="AD565" s="11">
        <v>21</v>
      </c>
      <c r="AE565" s="11">
        <f>F565*0.867542534722222</f>
        <v>0</v>
      </c>
      <c r="AF565" s="11">
        <f>F565*(1-0.867542534722222)</f>
        <v>0</v>
      </c>
      <c r="AG565" s="7" t="s">
        <v>504</v>
      </c>
      <c r="AM565" s="11">
        <f>E565*AE565</f>
        <v>0</v>
      </c>
      <c r="AN565" s="11">
        <f>E565*AF565</f>
        <v>0</v>
      </c>
      <c r="AO565" s="12" t="s">
        <v>206</v>
      </c>
      <c r="AP565" s="12" t="s">
        <v>229</v>
      </c>
      <c r="AQ565" s="6" t="s">
        <v>234</v>
      </c>
      <c r="AS565" s="11">
        <f>AM565+AN565</f>
        <v>0</v>
      </c>
      <c r="AT565" s="11">
        <f>F565/(100-AU565)*100</f>
        <v>0</v>
      </c>
      <c r="AU565" s="11">
        <v>0</v>
      </c>
      <c r="AV565" s="11">
        <f>K565</f>
        <v>0.05744</v>
      </c>
    </row>
    <row r="566" spans="1:14" ht="12.75">
      <c r="A566" s="39"/>
      <c r="B566" s="39"/>
      <c r="C566" s="63" t="s">
        <v>498</v>
      </c>
      <c r="D566" s="39"/>
      <c r="E566" s="64">
        <v>1</v>
      </c>
      <c r="F566" s="39"/>
      <c r="G566" s="39"/>
      <c r="H566" s="39"/>
      <c r="I566" s="39"/>
      <c r="J566" s="39"/>
      <c r="K566" s="39"/>
      <c r="L566" s="39"/>
      <c r="M566" s="39"/>
      <c r="N566" s="39"/>
    </row>
    <row r="567" spans="1:48" ht="12.75">
      <c r="A567" s="59" t="s">
        <v>797</v>
      </c>
      <c r="B567" s="59" t="s">
        <v>1176</v>
      </c>
      <c r="C567" s="59" t="s">
        <v>1748</v>
      </c>
      <c r="D567" s="59" t="s">
        <v>142</v>
      </c>
      <c r="E567" s="60">
        <v>1.4</v>
      </c>
      <c r="F567" s="61"/>
      <c r="G567" s="61">
        <f>E567*AE567</f>
        <v>0</v>
      </c>
      <c r="H567" s="61">
        <f>I567-G567</f>
        <v>0</v>
      </c>
      <c r="I567" s="61">
        <f>E567*F567</f>
        <v>0</v>
      </c>
      <c r="J567" s="61">
        <v>0.00012</v>
      </c>
      <c r="K567" s="61">
        <f>E567*J567</f>
        <v>0.000168</v>
      </c>
      <c r="L567" s="62" t="s">
        <v>170</v>
      </c>
      <c r="M567" s="39"/>
      <c r="N567" s="39"/>
      <c r="P567" s="11">
        <f>IF(AG567="5",I567,0)</f>
        <v>0</v>
      </c>
      <c r="R567" s="11">
        <f>IF(AG567="1",G567,0)</f>
        <v>0</v>
      </c>
      <c r="S567" s="11">
        <f>IF(AG567="1",H567,0)</f>
        <v>0</v>
      </c>
      <c r="T567" s="11">
        <f>IF(AG567="7",G567,0)</f>
        <v>0</v>
      </c>
      <c r="U567" s="11">
        <f>IF(AG567="7",H567,0)</f>
        <v>0</v>
      </c>
      <c r="V567" s="11">
        <f>IF(AG567="2",G567,0)</f>
        <v>0</v>
      </c>
      <c r="W567" s="11">
        <f>IF(AG567="2",H567,0)</f>
        <v>0</v>
      </c>
      <c r="X567" s="11">
        <f>IF(AG567="0",I567,0)</f>
        <v>0</v>
      </c>
      <c r="Y567" s="6"/>
      <c r="Z567" s="4">
        <f>IF(AD567=0,I567,0)</f>
        <v>0</v>
      </c>
      <c r="AA567" s="4">
        <f>IF(AD567=15,I567,0)</f>
        <v>0</v>
      </c>
      <c r="AB567" s="4">
        <f>IF(AD567=21,I567,0)</f>
        <v>0</v>
      </c>
      <c r="AD567" s="11">
        <v>21</v>
      </c>
      <c r="AE567" s="11">
        <f>F567*0.075948624714093</f>
        <v>0</v>
      </c>
      <c r="AF567" s="11">
        <f>F567*(1-0.075948624714093)</f>
        <v>0</v>
      </c>
      <c r="AG567" s="7" t="s">
        <v>504</v>
      </c>
      <c r="AM567" s="11">
        <f>E567*AE567</f>
        <v>0</v>
      </c>
      <c r="AN567" s="11">
        <f>E567*AF567</f>
        <v>0</v>
      </c>
      <c r="AO567" s="12" t="s">
        <v>206</v>
      </c>
      <c r="AP567" s="12" t="s">
        <v>229</v>
      </c>
      <c r="AQ567" s="6" t="s">
        <v>234</v>
      </c>
      <c r="AS567" s="11">
        <f>AM567+AN567</f>
        <v>0</v>
      </c>
      <c r="AT567" s="11">
        <f>F567/(100-AU567)*100</f>
        <v>0</v>
      </c>
      <c r="AU567" s="11">
        <v>0</v>
      </c>
      <c r="AV567" s="11">
        <f>K567</f>
        <v>0.000168</v>
      </c>
    </row>
    <row r="568" spans="1:14" ht="12.75">
      <c r="A568" s="39"/>
      <c r="B568" s="39"/>
      <c r="C568" s="63" t="s">
        <v>1749</v>
      </c>
      <c r="D568" s="39"/>
      <c r="E568" s="64">
        <v>1.4</v>
      </c>
      <c r="F568" s="39"/>
      <c r="G568" s="39"/>
      <c r="H568" s="39"/>
      <c r="I568" s="39"/>
      <c r="J568" s="39"/>
      <c r="K568" s="39"/>
      <c r="L568" s="39"/>
      <c r="M568" s="39"/>
      <c r="N568" s="39"/>
    </row>
    <row r="569" spans="1:48" ht="12.75">
      <c r="A569" s="70" t="s">
        <v>798</v>
      </c>
      <c r="B569" s="70" t="s">
        <v>1177</v>
      </c>
      <c r="C569" s="70" t="s">
        <v>1750</v>
      </c>
      <c r="D569" s="70" t="s">
        <v>142</v>
      </c>
      <c r="E569" s="71">
        <v>1.4</v>
      </c>
      <c r="F569" s="72"/>
      <c r="G569" s="72">
        <f>E569*AE569</f>
        <v>0</v>
      </c>
      <c r="H569" s="72">
        <f>I569-G569</f>
        <v>0</v>
      </c>
      <c r="I569" s="72">
        <f>E569*F569</f>
        <v>0</v>
      </c>
      <c r="J569" s="72">
        <v>0.0201</v>
      </c>
      <c r="K569" s="72">
        <f>E569*J569</f>
        <v>0.02814</v>
      </c>
      <c r="L569" s="73" t="s">
        <v>170</v>
      </c>
      <c r="M569" s="39"/>
      <c r="N569" s="39"/>
      <c r="P569" s="11">
        <f>IF(AG569="5",I569,0)</f>
        <v>0</v>
      </c>
      <c r="R569" s="11">
        <f>IF(AG569="1",G569,0)</f>
        <v>0</v>
      </c>
      <c r="S569" s="11">
        <f>IF(AG569="1",H569,0)</f>
        <v>0</v>
      </c>
      <c r="T569" s="11">
        <f>IF(AG569="7",G569,0)</f>
        <v>0</v>
      </c>
      <c r="U569" s="11">
        <f>IF(AG569="7",H569,0)</f>
        <v>0</v>
      </c>
      <c r="V569" s="11">
        <f>IF(AG569="2",G569,0)</f>
        <v>0</v>
      </c>
      <c r="W569" s="11">
        <f>IF(AG569="2",H569,0)</f>
        <v>0</v>
      </c>
      <c r="X569" s="11">
        <f>IF(AG569="0",I569,0)</f>
        <v>0</v>
      </c>
      <c r="Y569" s="6"/>
      <c r="Z569" s="5">
        <f>IF(AD569=0,I569,0)</f>
        <v>0</v>
      </c>
      <c r="AA569" s="5">
        <f>IF(AD569=15,I569,0)</f>
        <v>0</v>
      </c>
      <c r="AB569" s="5">
        <f>IF(AD569=21,I569,0)</f>
        <v>0</v>
      </c>
      <c r="AD569" s="11">
        <v>21</v>
      </c>
      <c r="AE569" s="11">
        <f>F569*1</f>
        <v>0</v>
      </c>
      <c r="AF569" s="11">
        <f>F569*(1-1)</f>
        <v>0</v>
      </c>
      <c r="AG569" s="8" t="s">
        <v>504</v>
      </c>
      <c r="AM569" s="11">
        <f>E569*AE569</f>
        <v>0</v>
      </c>
      <c r="AN569" s="11">
        <f>E569*AF569</f>
        <v>0</v>
      </c>
      <c r="AO569" s="12" t="s">
        <v>206</v>
      </c>
      <c r="AP569" s="12" t="s">
        <v>229</v>
      </c>
      <c r="AQ569" s="6" t="s">
        <v>234</v>
      </c>
      <c r="AS569" s="11">
        <f>AM569+AN569</f>
        <v>0</v>
      </c>
      <c r="AT569" s="11">
        <f>F569/(100-AU569)*100</f>
        <v>0</v>
      </c>
      <c r="AU569" s="11">
        <v>0</v>
      </c>
      <c r="AV569" s="11">
        <f>K569</f>
        <v>0.02814</v>
      </c>
    </row>
    <row r="570" spans="1:14" ht="12.75">
      <c r="A570" s="39"/>
      <c r="B570" s="39"/>
      <c r="C570" s="63" t="s">
        <v>1751</v>
      </c>
      <c r="D570" s="39"/>
      <c r="E570" s="64">
        <v>1.4</v>
      </c>
      <c r="F570" s="39"/>
      <c r="G570" s="39"/>
      <c r="H570" s="39"/>
      <c r="I570" s="39"/>
      <c r="J570" s="39"/>
      <c r="K570" s="39"/>
      <c r="L570" s="39"/>
      <c r="M570" s="39"/>
      <c r="N570" s="39"/>
    </row>
    <row r="571" spans="1:48" ht="12.75">
      <c r="A571" s="59" t="s">
        <v>799</v>
      </c>
      <c r="B571" s="59" t="s">
        <v>1178</v>
      </c>
      <c r="C571" s="59" t="s">
        <v>1752</v>
      </c>
      <c r="D571" s="59" t="s">
        <v>145</v>
      </c>
      <c r="E571" s="60">
        <v>192</v>
      </c>
      <c r="F571" s="61"/>
      <c r="G571" s="61">
        <f>E571*AE571</f>
        <v>0</v>
      </c>
      <c r="H571" s="61">
        <f>I571-G571</f>
        <v>0</v>
      </c>
      <c r="I571" s="61">
        <f>E571*F571</f>
        <v>0</v>
      </c>
      <c r="J571" s="61">
        <v>5E-05</v>
      </c>
      <c r="K571" s="61">
        <f>E571*J571</f>
        <v>0.009600000000000001</v>
      </c>
      <c r="L571" s="62" t="s">
        <v>170</v>
      </c>
      <c r="M571" s="39"/>
      <c r="N571" s="39"/>
      <c r="P571" s="11">
        <f>IF(AG571="5",I571,0)</f>
        <v>0</v>
      </c>
      <c r="R571" s="11">
        <f>IF(AG571="1",G571,0)</f>
        <v>0</v>
      </c>
      <c r="S571" s="11">
        <f>IF(AG571="1",H571,0)</f>
        <v>0</v>
      </c>
      <c r="T571" s="11">
        <f>IF(AG571="7",G571,0)</f>
        <v>0</v>
      </c>
      <c r="U571" s="11">
        <f>IF(AG571="7",H571,0)</f>
        <v>0</v>
      </c>
      <c r="V571" s="11">
        <f>IF(AG571="2",G571,0)</f>
        <v>0</v>
      </c>
      <c r="W571" s="11">
        <f>IF(AG571="2",H571,0)</f>
        <v>0</v>
      </c>
      <c r="X571" s="11">
        <f>IF(AG571="0",I571,0)</f>
        <v>0</v>
      </c>
      <c r="Y571" s="6"/>
      <c r="Z571" s="4">
        <f>IF(AD571=0,I571,0)</f>
        <v>0</v>
      </c>
      <c r="AA571" s="4">
        <f>IF(AD571=15,I571,0)</f>
        <v>0</v>
      </c>
      <c r="AB571" s="4">
        <f>IF(AD571=21,I571,0)</f>
        <v>0</v>
      </c>
      <c r="AD571" s="11">
        <v>21</v>
      </c>
      <c r="AE571" s="11">
        <f>F571*0.19368029739777</f>
        <v>0</v>
      </c>
      <c r="AF571" s="11">
        <f>F571*(1-0.19368029739777)</f>
        <v>0</v>
      </c>
      <c r="AG571" s="7" t="s">
        <v>504</v>
      </c>
      <c r="AM571" s="11">
        <f>E571*AE571</f>
        <v>0</v>
      </c>
      <c r="AN571" s="11">
        <f>E571*AF571</f>
        <v>0</v>
      </c>
      <c r="AO571" s="12" t="s">
        <v>206</v>
      </c>
      <c r="AP571" s="12" t="s">
        <v>229</v>
      </c>
      <c r="AQ571" s="6" t="s">
        <v>234</v>
      </c>
      <c r="AS571" s="11">
        <f>AM571+AN571</f>
        <v>0</v>
      </c>
      <c r="AT571" s="11">
        <f>F571/(100-AU571)*100</f>
        <v>0</v>
      </c>
      <c r="AU571" s="11">
        <v>0</v>
      </c>
      <c r="AV571" s="11">
        <f>K571</f>
        <v>0.009600000000000001</v>
      </c>
    </row>
    <row r="572" spans="1:14" ht="12.75">
      <c r="A572" s="39"/>
      <c r="B572" s="39"/>
      <c r="C572" s="63" t="s">
        <v>1753</v>
      </c>
      <c r="D572" s="39"/>
      <c r="E572" s="64">
        <v>192</v>
      </c>
      <c r="F572" s="39"/>
      <c r="G572" s="39"/>
      <c r="H572" s="39"/>
      <c r="I572" s="39"/>
      <c r="J572" s="39"/>
      <c r="K572" s="39"/>
      <c r="L572" s="39"/>
      <c r="M572" s="39"/>
      <c r="N572" s="39"/>
    </row>
    <row r="573" spans="1:48" ht="12.75">
      <c r="A573" s="70" t="s">
        <v>800</v>
      </c>
      <c r="B573" s="70" t="s">
        <v>1179</v>
      </c>
      <c r="C573" s="70" t="s">
        <v>1754</v>
      </c>
      <c r="D573" s="70" t="s">
        <v>143</v>
      </c>
      <c r="E573" s="71">
        <v>0.046</v>
      </c>
      <c r="F573" s="72"/>
      <c r="G573" s="72">
        <f>E573*AE573</f>
        <v>0</v>
      </c>
      <c r="H573" s="72">
        <f>I573-G573</f>
        <v>0</v>
      </c>
      <c r="I573" s="72">
        <f>E573*F573</f>
        <v>0</v>
      </c>
      <c r="J573" s="72">
        <v>1</v>
      </c>
      <c r="K573" s="72">
        <f>E573*J573</f>
        <v>0.046</v>
      </c>
      <c r="L573" s="73" t="s">
        <v>170</v>
      </c>
      <c r="M573" s="39"/>
      <c r="N573" s="39"/>
      <c r="P573" s="11">
        <f>IF(AG573="5",I573,0)</f>
        <v>0</v>
      </c>
      <c r="R573" s="11">
        <f>IF(AG573="1",G573,0)</f>
        <v>0</v>
      </c>
      <c r="S573" s="11">
        <f>IF(AG573="1",H573,0)</f>
        <v>0</v>
      </c>
      <c r="T573" s="11">
        <f>IF(AG573="7",G573,0)</f>
        <v>0</v>
      </c>
      <c r="U573" s="11">
        <f>IF(AG573="7",H573,0)</f>
        <v>0</v>
      </c>
      <c r="V573" s="11">
        <f>IF(AG573="2",G573,0)</f>
        <v>0</v>
      </c>
      <c r="W573" s="11">
        <f>IF(AG573="2",H573,0)</f>
        <v>0</v>
      </c>
      <c r="X573" s="11">
        <f>IF(AG573="0",I573,0)</f>
        <v>0</v>
      </c>
      <c r="Y573" s="6"/>
      <c r="Z573" s="5">
        <f>IF(AD573=0,I573,0)</f>
        <v>0</v>
      </c>
      <c r="AA573" s="5">
        <f>IF(AD573=15,I573,0)</f>
        <v>0</v>
      </c>
      <c r="AB573" s="5">
        <f>IF(AD573=21,I573,0)</f>
        <v>0</v>
      </c>
      <c r="AD573" s="11">
        <v>21</v>
      </c>
      <c r="AE573" s="11">
        <f>F573*1</f>
        <v>0</v>
      </c>
      <c r="AF573" s="11">
        <f>F573*(1-1)</f>
        <v>0</v>
      </c>
      <c r="AG573" s="8" t="s">
        <v>504</v>
      </c>
      <c r="AM573" s="11">
        <f>E573*AE573</f>
        <v>0</v>
      </c>
      <c r="AN573" s="11">
        <f>E573*AF573</f>
        <v>0</v>
      </c>
      <c r="AO573" s="12" t="s">
        <v>206</v>
      </c>
      <c r="AP573" s="12" t="s">
        <v>229</v>
      </c>
      <c r="AQ573" s="6" t="s">
        <v>234</v>
      </c>
      <c r="AS573" s="11">
        <f>AM573+AN573</f>
        <v>0</v>
      </c>
      <c r="AT573" s="11">
        <f>F573/(100-AU573)*100</f>
        <v>0</v>
      </c>
      <c r="AU573" s="11">
        <v>0</v>
      </c>
      <c r="AV573" s="11">
        <f>K573</f>
        <v>0.046</v>
      </c>
    </row>
    <row r="574" spans="1:14" ht="12.75">
      <c r="A574" s="39"/>
      <c r="B574" s="39"/>
      <c r="C574" s="63" t="s">
        <v>1755</v>
      </c>
      <c r="D574" s="39"/>
      <c r="E574" s="64">
        <v>0.043</v>
      </c>
      <c r="F574" s="39"/>
      <c r="G574" s="39"/>
      <c r="H574" s="39"/>
      <c r="I574" s="39"/>
      <c r="J574" s="39"/>
      <c r="K574" s="39"/>
      <c r="L574" s="39"/>
      <c r="M574" s="39"/>
      <c r="N574" s="39"/>
    </row>
    <row r="575" spans="1:14" ht="12.75">
      <c r="A575" s="39"/>
      <c r="B575" s="39"/>
      <c r="C575" s="63" t="s">
        <v>1756</v>
      </c>
      <c r="D575" s="39"/>
      <c r="E575" s="64">
        <v>0.003</v>
      </c>
      <c r="F575" s="39"/>
      <c r="G575" s="39"/>
      <c r="H575" s="39"/>
      <c r="I575" s="39"/>
      <c r="J575" s="39"/>
      <c r="K575" s="39"/>
      <c r="L575" s="39"/>
      <c r="M575" s="39"/>
      <c r="N575" s="39"/>
    </row>
    <row r="576" spans="1:48" ht="12.75">
      <c r="A576" s="70" t="s">
        <v>801</v>
      </c>
      <c r="B576" s="70" t="s">
        <v>1180</v>
      </c>
      <c r="C576" s="70" t="s">
        <v>1757</v>
      </c>
      <c r="D576" s="70" t="s">
        <v>143</v>
      </c>
      <c r="E576" s="71">
        <v>0.052</v>
      </c>
      <c r="F576" s="72"/>
      <c r="G576" s="72">
        <f>E576*AE576</f>
        <v>0</v>
      </c>
      <c r="H576" s="72">
        <f>I576-G576</f>
        <v>0</v>
      </c>
      <c r="I576" s="72">
        <f>E576*F576</f>
        <v>0</v>
      </c>
      <c r="J576" s="72">
        <v>1</v>
      </c>
      <c r="K576" s="72">
        <f>E576*J576</f>
        <v>0.052</v>
      </c>
      <c r="L576" s="73" t="s">
        <v>170</v>
      </c>
      <c r="M576" s="39"/>
      <c r="N576" s="39"/>
      <c r="P576" s="11">
        <f>IF(AG576="5",I576,0)</f>
        <v>0</v>
      </c>
      <c r="R576" s="11">
        <f>IF(AG576="1",G576,0)</f>
        <v>0</v>
      </c>
      <c r="S576" s="11">
        <f>IF(AG576="1",H576,0)</f>
        <v>0</v>
      </c>
      <c r="T576" s="11">
        <f>IF(AG576="7",G576,0)</f>
        <v>0</v>
      </c>
      <c r="U576" s="11">
        <f>IF(AG576="7",H576,0)</f>
        <v>0</v>
      </c>
      <c r="V576" s="11">
        <f>IF(AG576="2",G576,0)</f>
        <v>0</v>
      </c>
      <c r="W576" s="11">
        <f>IF(AG576="2",H576,0)</f>
        <v>0</v>
      </c>
      <c r="X576" s="11">
        <f>IF(AG576="0",I576,0)</f>
        <v>0</v>
      </c>
      <c r="Y576" s="6"/>
      <c r="Z576" s="5">
        <f>IF(AD576=0,I576,0)</f>
        <v>0</v>
      </c>
      <c r="AA576" s="5">
        <f>IF(AD576=15,I576,0)</f>
        <v>0</v>
      </c>
      <c r="AB576" s="5">
        <f>IF(AD576=21,I576,0)</f>
        <v>0</v>
      </c>
      <c r="AD576" s="11">
        <v>21</v>
      </c>
      <c r="AE576" s="11">
        <f>F576*1</f>
        <v>0</v>
      </c>
      <c r="AF576" s="11">
        <f>F576*(1-1)</f>
        <v>0</v>
      </c>
      <c r="AG576" s="8" t="s">
        <v>504</v>
      </c>
      <c r="AM576" s="11">
        <f>E576*AE576</f>
        <v>0</v>
      </c>
      <c r="AN576" s="11">
        <f>E576*AF576</f>
        <v>0</v>
      </c>
      <c r="AO576" s="12" t="s">
        <v>206</v>
      </c>
      <c r="AP576" s="12" t="s">
        <v>229</v>
      </c>
      <c r="AQ576" s="6" t="s">
        <v>234</v>
      </c>
      <c r="AS576" s="11">
        <f>AM576+AN576</f>
        <v>0</v>
      </c>
      <c r="AT576" s="11">
        <f>F576/(100-AU576)*100</f>
        <v>0</v>
      </c>
      <c r="AU576" s="11">
        <v>0</v>
      </c>
      <c r="AV576" s="11">
        <f>K576</f>
        <v>0.052</v>
      </c>
    </row>
    <row r="577" spans="1:14" ht="12.75">
      <c r="A577" s="39"/>
      <c r="B577" s="39"/>
      <c r="C577" s="63" t="s">
        <v>1758</v>
      </c>
      <c r="D577" s="39"/>
      <c r="E577" s="64">
        <v>0.048</v>
      </c>
      <c r="F577" s="39"/>
      <c r="G577" s="39"/>
      <c r="H577" s="39"/>
      <c r="I577" s="39"/>
      <c r="J577" s="39"/>
      <c r="K577" s="39"/>
      <c r="L577" s="39"/>
      <c r="M577" s="39"/>
      <c r="N577" s="39"/>
    </row>
    <row r="578" spans="1:14" ht="12.75">
      <c r="A578" s="39"/>
      <c r="B578" s="39"/>
      <c r="C578" s="63" t="s">
        <v>1759</v>
      </c>
      <c r="D578" s="39"/>
      <c r="E578" s="64">
        <v>0.004</v>
      </c>
      <c r="F578" s="39"/>
      <c r="G578" s="39"/>
      <c r="H578" s="39"/>
      <c r="I578" s="39"/>
      <c r="J578" s="39"/>
      <c r="K578" s="39"/>
      <c r="L578" s="39"/>
      <c r="M578" s="39"/>
      <c r="N578" s="39"/>
    </row>
    <row r="579" spans="1:48" ht="12.75">
      <c r="A579" s="70" t="s">
        <v>802</v>
      </c>
      <c r="B579" s="70" t="s">
        <v>1181</v>
      </c>
      <c r="C579" s="70" t="s">
        <v>1760</v>
      </c>
      <c r="D579" s="70" t="s">
        <v>143</v>
      </c>
      <c r="E579" s="71">
        <v>0.076</v>
      </c>
      <c r="F579" s="72"/>
      <c r="G579" s="72">
        <f>E579*AE579</f>
        <v>0</v>
      </c>
      <c r="H579" s="72">
        <f>I579-G579</f>
        <v>0</v>
      </c>
      <c r="I579" s="72">
        <f>E579*F579</f>
        <v>0</v>
      </c>
      <c r="J579" s="72">
        <v>1</v>
      </c>
      <c r="K579" s="72">
        <f>E579*J579</f>
        <v>0.076</v>
      </c>
      <c r="L579" s="73" t="s">
        <v>170</v>
      </c>
      <c r="M579" s="39"/>
      <c r="N579" s="39"/>
      <c r="P579" s="11">
        <f>IF(AG579="5",I579,0)</f>
        <v>0</v>
      </c>
      <c r="R579" s="11">
        <f>IF(AG579="1",G579,0)</f>
        <v>0</v>
      </c>
      <c r="S579" s="11">
        <f>IF(AG579="1",H579,0)</f>
        <v>0</v>
      </c>
      <c r="T579" s="11">
        <f>IF(AG579="7",G579,0)</f>
        <v>0</v>
      </c>
      <c r="U579" s="11">
        <f>IF(AG579="7",H579,0)</f>
        <v>0</v>
      </c>
      <c r="V579" s="11">
        <f>IF(AG579="2",G579,0)</f>
        <v>0</v>
      </c>
      <c r="W579" s="11">
        <f>IF(AG579="2",H579,0)</f>
        <v>0</v>
      </c>
      <c r="X579" s="11">
        <f>IF(AG579="0",I579,0)</f>
        <v>0</v>
      </c>
      <c r="Y579" s="6"/>
      <c r="Z579" s="5">
        <f>IF(AD579=0,I579,0)</f>
        <v>0</v>
      </c>
      <c r="AA579" s="5">
        <f>IF(AD579=15,I579,0)</f>
        <v>0</v>
      </c>
      <c r="AB579" s="5">
        <f>IF(AD579=21,I579,0)</f>
        <v>0</v>
      </c>
      <c r="AD579" s="11">
        <v>21</v>
      </c>
      <c r="AE579" s="11">
        <f>F579*1</f>
        <v>0</v>
      </c>
      <c r="AF579" s="11">
        <f>F579*(1-1)</f>
        <v>0</v>
      </c>
      <c r="AG579" s="8" t="s">
        <v>504</v>
      </c>
      <c r="AM579" s="11">
        <f>E579*AE579</f>
        <v>0</v>
      </c>
      <c r="AN579" s="11">
        <f>E579*AF579</f>
        <v>0</v>
      </c>
      <c r="AO579" s="12" t="s">
        <v>206</v>
      </c>
      <c r="AP579" s="12" t="s">
        <v>229</v>
      </c>
      <c r="AQ579" s="6" t="s">
        <v>234</v>
      </c>
      <c r="AS579" s="11">
        <f>AM579+AN579</f>
        <v>0</v>
      </c>
      <c r="AT579" s="11">
        <f>F579/(100-AU579)*100</f>
        <v>0</v>
      </c>
      <c r="AU579" s="11">
        <v>0</v>
      </c>
      <c r="AV579" s="11">
        <f>K579</f>
        <v>0.076</v>
      </c>
    </row>
    <row r="580" spans="1:14" ht="12.75">
      <c r="A580" s="39"/>
      <c r="B580" s="39"/>
      <c r="C580" s="63" t="s">
        <v>1761</v>
      </c>
      <c r="D580" s="39"/>
      <c r="E580" s="64">
        <v>0.07</v>
      </c>
      <c r="F580" s="39"/>
      <c r="G580" s="39"/>
      <c r="H580" s="39"/>
      <c r="I580" s="39"/>
      <c r="J580" s="39"/>
      <c r="K580" s="39"/>
      <c r="L580" s="39"/>
      <c r="M580" s="39"/>
      <c r="N580" s="39"/>
    </row>
    <row r="581" spans="1:14" ht="12.75">
      <c r="A581" s="39"/>
      <c r="B581" s="39"/>
      <c r="C581" s="63" t="s">
        <v>1762</v>
      </c>
      <c r="D581" s="39"/>
      <c r="E581" s="64">
        <v>0.006</v>
      </c>
      <c r="F581" s="39"/>
      <c r="G581" s="39"/>
      <c r="H581" s="39"/>
      <c r="I581" s="39"/>
      <c r="J581" s="39"/>
      <c r="K581" s="39"/>
      <c r="L581" s="39"/>
      <c r="M581" s="39"/>
      <c r="N581" s="39"/>
    </row>
    <row r="582" spans="1:48" ht="12.75">
      <c r="A582" s="70" t="s">
        <v>803</v>
      </c>
      <c r="B582" s="70" t="s">
        <v>1182</v>
      </c>
      <c r="C582" s="70" t="s">
        <v>1763</v>
      </c>
      <c r="D582" s="70" t="s">
        <v>143</v>
      </c>
      <c r="E582" s="71">
        <v>0.093</v>
      </c>
      <c r="F582" s="72"/>
      <c r="G582" s="72">
        <f>E582*AE582</f>
        <v>0</v>
      </c>
      <c r="H582" s="72">
        <f>I582-G582</f>
        <v>0</v>
      </c>
      <c r="I582" s="72">
        <f>E582*F582</f>
        <v>0</v>
      </c>
      <c r="J582" s="72">
        <v>1</v>
      </c>
      <c r="K582" s="72">
        <f>E582*J582</f>
        <v>0.093</v>
      </c>
      <c r="L582" s="73" t="s">
        <v>170</v>
      </c>
      <c r="M582" s="39"/>
      <c r="N582" s="39"/>
      <c r="P582" s="11">
        <f>IF(AG582="5",I582,0)</f>
        <v>0</v>
      </c>
      <c r="R582" s="11">
        <f>IF(AG582="1",G582,0)</f>
        <v>0</v>
      </c>
      <c r="S582" s="11">
        <f>IF(AG582="1",H582,0)</f>
        <v>0</v>
      </c>
      <c r="T582" s="11">
        <f>IF(AG582="7",G582,0)</f>
        <v>0</v>
      </c>
      <c r="U582" s="11">
        <f>IF(AG582="7",H582,0)</f>
        <v>0</v>
      </c>
      <c r="V582" s="11">
        <f>IF(AG582="2",G582,0)</f>
        <v>0</v>
      </c>
      <c r="W582" s="11">
        <f>IF(AG582="2",H582,0)</f>
        <v>0</v>
      </c>
      <c r="X582" s="11">
        <f>IF(AG582="0",I582,0)</f>
        <v>0</v>
      </c>
      <c r="Y582" s="6"/>
      <c r="Z582" s="5">
        <f>IF(AD582=0,I582,0)</f>
        <v>0</v>
      </c>
      <c r="AA582" s="5">
        <f>IF(AD582=15,I582,0)</f>
        <v>0</v>
      </c>
      <c r="AB582" s="5">
        <f>IF(AD582=21,I582,0)</f>
        <v>0</v>
      </c>
      <c r="AD582" s="11">
        <v>21</v>
      </c>
      <c r="AE582" s="11">
        <f>F582*1</f>
        <v>0</v>
      </c>
      <c r="AF582" s="11">
        <f>F582*(1-1)</f>
        <v>0</v>
      </c>
      <c r="AG582" s="8" t="s">
        <v>504</v>
      </c>
      <c r="AM582" s="11">
        <f>E582*AE582</f>
        <v>0</v>
      </c>
      <c r="AN582" s="11">
        <f>E582*AF582</f>
        <v>0</v>
      </c>
      <c r="AO582" s="12" t="s">
        <v>206</v>
      </c>
      <c r="AP582" s="12" t="s">
        <v>229</v>
      </c>
      <c r="AQ582" s="6" t="s">
        <v>234</v>
      </c>
      <c r="AS582" s="11">
        <f>AM582+AN582</f>
        <v>0</v>
      </c>
      <c r="AT582" s="11">
        <f>F582/(100-AU582)*100</f>
        <v>0</v>
      </c>
      <c r="AU582" s="11">
        <v>0</v>
      </c>
      <c r="AV582" s="11">
        <f>K582</f>
        <v>0.093</v>
      </c>
    </row>
    <row r="583" spans="1:14" ht="12.75">
      <c r="A583" s="39"/>
      <c r="B583" s="39"/>
      <c r="C583" s="63" t="s">
        <v>1764</v>
      </c>
      <c r="D583" s="39"/>
      <c r="E583" s="64">
        <v>0.086</v>
      </c>
      <c r="F583" s="39"/>
      <c r="G583" s="39"/>
      <c r="H583" s="39"/>
      <c r="I583" s="39"/>
      <c r="J583" s="39"/>
      <c r="K583" s="39"/>
      <c r="L583" s="39"/>
      <c r="M583" s="39"/>
      <c r="N583" s="39"/>
    </row>
    <row r="584" spans="1:14" ht="12.75">
      <c r="A584" s="39"/>
      <c r="B584" s="39"/>
      <c r="C584" s="63" t="s">
        <v>1765</v>
      </c>
      <c r="D584" s="39"/>
      <c r="E584" s="64">
        <v>0.007</v>
      </c>
      <c r="F584" s="39"/>
      <c r="G584" s="39"/>
      <c r="H584" s="39"/>
      <c r="I584" s="39"/>
      <c r="J584" s="39"/>
      <c r="K584" s="39"/>
      <c r="L584" s="39"/>
      <c r="M584" s="39"/>
      <c r="N584" s="39"/>
    </row>
    <row r="585" spans="1:48" ht="12.75">
      <c r="A585" s="59" t="s">
        <v>804</v>
      </c>
      <c r="B585" s="59" t="s">
        <v>1183</v>
      </c>
      <c r="C585" s="59" t="s">
        <v>0</v>
      </c>
      <c r="D585" s="59" t="s">
        <v>145</v>
      </c>
      <c r="E585" s="60">
        <v>296.654</v>
      </c>
      <c r="F585" s="61"/>
      <c r="G585" s="61">
        <f>E585*AE585</f>
        <v>0</v>
      </c>
      <c r="H585" s="61">
        <f>I585-G585</f>
        <v>0</v>
      </c>
      <c r="I585" s="61">
        <f>E585*F585</f>
        <v>0</v>
      </c>
      <c r="J585" s="61">
        <v>5E-05</v>
      </c>
      <c r="K585" s="61">
        <f>E585*J585</f>
        <v>0.0148327</v>
      </c>
      <c r="L585" s="62" t="s">
        <v>170</v>
      </c>
      <c r="M585" s="39"/>
      <c r="N585" s="39"/>
      <c r="P585" s="11">
        <f>IF(AG585="5",I585,0)</f>
        <v>0</v>
      </c>
      <c r="R585" s="11">
        <f>IF(AG585="1",G585,0)</f>
        <v>0</v>
      </c>
      <c r="S585" s="11">
        <f>IF(AG585="1",H585,0)</f>
        <v>0</v>
      </c>
      <c r="T585" s="11">
        <f>IF(AG585="7",G585,0)</f>
        <v>0</v>
      </c>
      <c r="U585" s="11">
        <f>IF(AG585="7",H585,0)</f>
        <v>0</v>
      </c>
      <c r="V585" s="11">
        <f>IF(AG585="2",G585,0)</f>
        <v>0</v>
      </c>
      <c r="W585" s="11">
        <f>IF(AG585="2",H585,0)</f>
        <v>0</v>
      </c>
      <c r="X585" s="11">
        <f>IF(AG585="0",I585,0)</f>
        <v>0</v>
      </c>
      <c r="Y585" s="6"/>
      <c r="Z585" s="4">
        <f>IF(AD585=0,I585,0)</f>
        <v>0</v>
      </c>
      <c r="AA585" s="4">
        <f>IF(AD585=15,I585,0)</f>
        <v>0</v>
      </c>
      <c r="AB585" s="4">
        <f>IF(AD585=21,I585,0)</f>
        <v>0</v>
      </c>
      <c r="AD585" s="11">
        <v>21</v>
      </c>
      <c r="AE585" s="11">
        <f>F585*0.216992919616826</f>
        <v>0</v>
      </c>
      <c r="AF585" s="11">
        <f>F585*(1-0.216992919616826)</f>
        <v>0</v>
      </c>
      <c r="AG585" s="7" t="s">
        <v>504</v>
      </c>
      <c r="AM585" s="11">
        <f>E585*AE585</f>
        <v>0</v>
      </c>
      <c r="AN585" s="11">
        <f>E585*AF585</f>
        <v>0</v>
      </c>
      <c r="AO585" s="12" t="s">
        <v>206</v>
      </c>
      <c r="AP585" s="12" t="s">
        <v>229</v>
      </c>
      <c r="AQ585" s="6" t="s">
        <v>234</v>
      </c>
      <c r="AS585" s="11">
        <f>AM585+AN585</f>
        <v>0</v>
      </c>
      <c r="AT585" s="11">
        <f>F585/(100-AU585)*100</f>
        <v>0</v>
      </c>
      <c r="AU585" s="11">
        <v>0</v>
      </c>
      <c r="AV585" s="11">
        <f>K585</f>
        <v>0.0148327</v>
      </c>
    </row>
    <row r="586" spans="1:14" ht="12.75">
      <c r="A586" s="39"/>
      <c r="B586" s="39"/>
      <c r="C586" s="63" t="s">
        <v>1</v>
      </c>
      <c r="D586" s="39"/>
      <c r="E586" s="64">
        <v>296.654</v>
      </c>
      <c r="F586" s="39"/>
      <c r="G586" s="39"/>
      <c r="H586" s="39"/>
      <c r="I586" s="39"/>
      <c r="J586" s="39"/>
      <c r="K586" s="39"/>
      <c r="L586" s="39"/>
      <c r="M586" s="39"/>
      <c r="N586" s="39"/>
    </row>
    <row r="587" spans="1:48" ht="12.75">
      <c r="A587" s="70" t="s">
        <v>805</v>
      </c>
      <c r="B587" s="70" t="s">
        <v>1184</v>
      </c>
      <c r="C587" s="70" t="s">
        <v>2</v>
      </c>
      <c r="D587" s="70" t="s">
        <v>143</v>
      </c>
      <c r="E587" s="71">
        <v>0.321</v>
      </c>
      <c r="F587" s="72"/>
      <c r="G587" s="72">
        <f>E587*AE587</f>
        <v>0</v>
      </c>
      <c r="H587" s="72">
        <f>I587-G587</f>
        <v>0</v>
      </c>
      <c r="I587" s="72">
        <f>E587*F587</f>
        <v>0</v>
      </c>
      <c r="J587" s="72">
        <v>1</v>
      </c>
      <c r="K587" s="72">
        <f>E587*J587</f>
        <v>0.321</v>
      </c>
      <c r="L587" s="73" t="s">
        <v>170</v>
      </c>
      <c r="M587" s="39"/>
      <c r="N587" s="39"/>
      <c r="P587" s="11">
        <f>IF(AG587="5",I587,0)</f>
        <v>0</v>
      </c>
      <c r="R587" s="11">
        <f>IF(AG587="1",G587,0)</f>
        <v>0</v>
      </c>
      <c r="S587" s="11">
        <f>IF(AG587="1",H587,0)</f>
        <v>0</v>
      </c>
      <c r="T587" s="11">
        <f>IF(AG587="7",G587,0)</f>
        <v>0</v>
      </c>
      <c r="U587" s="11">
        <f>IF(AG587="7",H587,0)</f>
        <v>0</v>
      </c>
      <c r="V587" s="11">
        <f>IF(AG587="2",G587,0)</f>
        <v>0</v>
      </c>
      <c r="W587" s="11">
        <f>IF(AG587="2",H587,0)</f>
        <v>0</v>
      </c>
      <c r="X587" s="11">
        <f>IF(AG587="0",I587,0)</f>
        <v>0</v>
      </c>
      <c r="Y587" s="6"/>
      <c r="Z587" s="5">
        <f>IF(AD587=0,I587,0)</f>
        <v>0</v>
      </c>
      <c r="AA587" s="5">
        <f>IF(AD587=15,I587,0)</f>
        <v>0</v>
      </c>
      <c r="AB587" s="5">
        <f>IF(AD587=21,I587,0)</f>
        <v>0</v>
      </c>
      <c r="AD587" s="11">
        <v>21</v>
      </c>
      <c r="AE587" s="11">
        <f>F587*1</f>
        <v>0</v>
      </c>
      <c r="AF587" s="11">
        <f>F587*(1-1)</f>
        <v>0</v>
      </c>
      <c r="AG587" s="8" t="s">
        <v>504</v>
      </c>
      <c r="AM587" s="11">
        <f>E587*AE587</f>
        <v>0</v>
      </c>
      <c r="AN587" s="11">
        <f>E587*AF587</f>
        <v>0</v>
      </c>
      <c r="AO587" s="12" t="s">
        <v>206</v>
      </c>
      <c r="AP587" s="12" t="s">
        <v>229</v>
      </c>
      <c r="AQ587" s="6" t="s">
        <v>234</v>
      </c>
      <c r="AS587" s="11">
        <f>AM587+AN587</f>
        <v>0</v>
      </c>
      <c r="AT587" s="11">
        <f>F587/(100-AU587)*100</f>
        <v>0</v>
      </c>
      <c r="AU587" s="11">
        <v>0</v>
      </c>
      <c r="AV587" s="11">
        <f>K587</f>
        <v>0.321</v>
      </c>
    </row>
    <row r="588" spans="1:14" ht="12.75">
      <c r="A588" s="39"/>
      <c r="B588" s="39"/>
      <c r="C588" s="63" t="s">
        <v>3</v>
      </c>
      <c r="D588" s="39"/>
      <c r="E588" s="64">
        <v>0.297</v>
      </c>
      <c r="F588" s="39"/>
      <c r="G588" s="39"/>
      <c r="H588" s="39"/>
      <c r="I588" s="39"/>
      <c r="J588" s="39"/>
      <c r="K588" s="39"/>
      <c r="L588" s="39"/>
      <c r="M588" s="39"/>
      <c r="N588" s="39"/>
    </row>
    <row r="589" spans="1:14" ht="12.75">
      <c r="A589" s="39"/>
      <c r="B589" s="39"/>
      <c r="C589" s="63" t="s">
        <v>4</v>
      </c>
      <c r="D589" s="39"/>
      <c r="E589" s="64">
        <v>0.024</v>
      </c>
      <c r="F589" s="39"/>
      <c r="G589" s="39"/>
      <c r="H589" s="39"/>
      <c r="I589" s="39"/>
      <c r="J589" s="39"/>
      <c r="K589" s="39"/>
      <c r="L589" s="39"/>
      <c r="M589" s="39"/>
      <c r="N589" s="39"/>
    </row>
    <row r="590" spans="1:48" ht="12.75">
      <c r="A590" s="59" t="s">
        <v>806</v>
      </c>
      <c r="B590" s="59" t="s">
        <v>1185</v>
      </c>
      <c r="C590" s="59" t="s">
        <v>5</v>
      </c>
      <c r="D590" s="59" t="s">
        <v>145</v>
      </c>
      <c r="E590" s="60">
        <v>3.132</v>
      </c>
      <c r="F590" s="61"/>
      <c r="G590" s="61">
        <f>E590*AE590</f>
        <v>0</v>
      </c>
      <c r="H590" s="61">
        <f>I590-G590</f>
        <v>0</v>
      </c>
      <c r="I590" s="61">
        <f>E590*F590</f>
        <v>0</v>
      </c>
      <c r="J590" s="61">
        <v>6E-05</v>
      </c>
      <c r="K590" s="61">
        <f>E590*J590</f>
        <v>0.00018792</v>
      </c>
      <c r="L590" s="62" t="s">
        <v>170</v>
      </c>
      <c r="M590" s="39"/>
      <c r="N590" s="39"/>
      <c r="P590" s="11">
        <f>IF(AG590="5",I590,0)</f>
        <v>0</v>
      </c>
      <c r="R590" s="11">
        <f>IF(AG590="1",G590,0)</f>
        <v>0</v>
      </c>
      <c r="S590" s="11">
        <f>IF(AG590="1",H590,0)</f>
        <v>0</v>
      </c>
      <c r="T590" s="11">
        <f>IF(AG590="7",G590,0)</f>
        <v>0</v>
      </c>
      <c r="U590" s="11">
        <f>IF(AG590="7",H590,0)</f>
        <v>0</v>
      </c>
      <c r="V590" s="11">
        <f>IF(AG590="2",G590,0)</f>
        <v>0</v>
      </c>
      <c r="W590" s="11">
        <f>IF(AG590="2",H590,0)</f>
        <v>0</v>
      </c>
      <c r="X590" s="11">
        <f>IF(AG590="0",I590,0)</f>
        <v>0</v>
      </c>
      <c r="Y590" s="6"/>
      <c r="Z590" s="4">
        <f>IF(AD590=0,I590,0)</f>
        <v>0</v>
      </c>
      <c r="AA590" s="4">
        <f>IF(AD590=15,I590,0)</f>
        <v>0</v>
      </c>
      <c r="AB590" s="4">
        <f>IF(AD590=21,I590,0)</f>
        <v>0</v>
      </c>
      <c r="AD590" s="11">
        <v>21</v>
      </c>
      <c r="AE590" s="11">
        <f>F590*0.0866666666666667</f>
        <v>0</v>
      </c>
      <c r="AF590" s="11">
        <f>F590*(1-0.0866666666666667)</f>
        <v>0</v>
      </c>
      <c r="AG590" s="7" t="s">
        <v>504</v>
      </c>
      <c r="AM590" s="11">
        <f>E590*AE590</f>
        <v>0</v>
      </c>
      <c r="AN590" s="11">
        <f>E590*AF590</f>
        <v>0</v>
      </c>
      <c r="AO590" s="12" t="s">
        <v>206</v>
      </c>
      <c r="AP590" s="12" t="s">
        <v>229</v>
      </c>
      <c r="AQ590" s="6" t="s">
        <v>234</v>
      </c>
      <c r="AS590" s="11">
        <f>AM590+AN590</f>
        <v>0</v>
      </c>
      <c r="AT590" s="11">
        <f>F590/(100-AU590)*100</f>
        <v>0</v>
      </c>
      <c r="AU590" s="11">
        <v>0</v>
      </c>
      <c r="AV590" s="11">
        <f>K590</f>
        <v>0.00018792</v>
      </c>
    </row>
    <row r="591" spans="1:14" ht="12.75">
      <c r="A591" s="39"/>
      <c r="B591" s="39"/>
      <c r="C591" s="63" t="s">
        <v>6</v>
      </c>
      <c r="D591" s="39"/>
      <c r="E591" s="64">
        <v>3.132</v>
      </c>
      <c r="F591" s="39"/>
      <c r="G591" s="39"/>
      <c r="H591" s="39"/>
      <c r="I591" s="39"/>
      <c r="J591" s="39"/>
      <c r="K591" s="39"/>
      <c r="L591" s="39"/>
      <c r="M591" s="39"/>
      <c r="N591" s="39"/>
    </row>
    <row r="592" spans="1:48" ht="12.75">
      <c r="A592" s="70" t="s">
        <v>807</v>
      </c>
      <c r="B592" s="70" t="s">
        <v>1186</v>
      </c>
      <c r="C592" s="70" t="s">
        <v>7</v>
      </c>
      <c r="D592" s="70" t="s">
        <v>143</v>
      </c>
      <c r="E592" s="71">
        <v>0.003</v>
      </c>
      <c r="F592" s="72"/>
      <c r="G592" s="72">
        <f>E592*AE592</f>
        <v>0</v>
      </c>
      <c r="H592" s="72">
        <f>I592-G592</f>
        <v>0</v>
      </c>
      <c r="I592" s="72">
        <f>E592*F592</f>
        <v>0</v>
      </c>
      <c r="J592" s="72">
        <v>1</v>
      </c>
      <c r="K592" s="72">
        <f>E592*J592</f>
        <v>0.003</v>
      </c>
      <c r="L592" s="73" t="s">
        <v>170</v>
      </c>
      <c r="M592" s="39"/>
      <c r="N592" s="39"/>
      <c r="P592" s="11">
        <f>IF(AG592="5",I592,0)</f>
        <v>0</v>
      </c>
      <c r="R592" s="11">
        <f>IF(AG592="1",G592,0)</f>
        <v>0</v>
      </c>
      <c r="S592" s="11">
        <f>IF(AG592="1",H592,0)</f>
        <v>0</v>
      </c>
      <c r="T592" s="11">
        <f>IF(AG592="7",G592,0)</f>
        <v>0</v>
      </c>
      <c r="U592" s="11">
        <f>IF(AG592="7",H592,0)</f>
        <v>0</v>
      </c>
      <c r="V592" s="11">
        <f>IF(AG592="2",G592,0)</f>
        <v>0</v>
      </c>
      <c r="W592" s="11">
        <f>IF(AG592="2",H592,0)</f>
        <v>0</v>
      </c>
      <c r="X592" s="11">
        <f>IF(AG592="0",I592,0)</f>
        <v>0</v>
      </c>
      <c r="Y592" s="6"/>
      <c r="Z592" s="5">
        <f>IF(AD592=0,I592,0)</f>
        <v>0</v>
      </c>
      <c r="AA592" s="5">
        <f>IF(AD592=15,I592,0)</f>
        <v>0</v>
      </c>
      <c r="AB592" s="5">
        <f>IF(AD592=21,I592,0)</f>
        <v>0</v>
      </c>
      <c r="AD592" s="11">
        <v>21</v>
      </c>
      <c r="AE592" s="11">
        <f>F592*1</f>
        <v>0</v>
      </c>
      <c r="AF592" s="11">
        <f>F592*(1-1)</f>
        <v>0</v>
      </c>
      <c r="AG592" s="8" t="s">
        <v>504</v>
      </c>
      <c r="AM592" s="11">
        <f>E592*AE592</f>
        <v>0</v>
      </c>
      <c r="AN592" s="11">
        <f>E592*AF592</f>
        <v>0</v>
      </c>
      <c r="AO592" s="12" t="s">
        <v>206</v>
      </c>
      <c r="AP592" s="12" t="s">
        <v>229</v>
      </c>
      <c r="AQ592" s="6" t="s">
        <v>234</v>
      </c>
      <c r="AS592" s="11">
        <f>AM592+AN592</f>
        <v>0</v>
      </c>
      <c r="AT592" s="11">
        <f>F592/(100-AU592)*100</f>
        <v>0</v>
      </c>
      <c r="AU592" s="11">
        <v>0</v>
      </c>
      <c r="AV592" s="11">
        <f>K592</f>
        <v>0.003</v>
      </c>
    </row>
    <row r="593" spans="1:14" ht="12.75">
      <c r="A593" s="39"/>
      <c r="B593" s="39"/>
      <c r="C593" s="63" t="s">
        <v>8</v>
      </c>
      <c r="D593" s="39"/>
      <c r="E593" s="64">
        <v>0.003</v>
      </c>
      <c r="F593" s="39"/>
      <c r="G593" s="39"/>
      <c r="H593" s="39"/>
      <c r="I593" s="39"/>
      <c r="J593" s="39"/>
      <c r="K593" s="39"/>
      <c r="L593" s="39"/>
      <c r="M593" s="39"/>
      <c r="N593" s="39"/>
    </row>
    <row r="594" spans="1:14" ht="12.75">
      <c r="A594" s="39"/>
      <c r="B594" s="39"/>
      <c r="C594" s="63" t="s">
        <v>9</v>
      </c>
      <c r="D594" s="39"/>
      <c r="E594" s="64">
        <v>0</v>
      </c>
      <c r="F594" s="39"/>
      <c r="G594" s="39"/>
      <c r="H594" s="39"/>
      <c r="I594" s="39"/>
      <c r="J594" s="39"/>
      <c r="K594" s="39"/>
      <c r="L594" s="39"/>
      <c r="M594" s="39"/>
      <c r="N594" s="39"/>
    </row>
    <row r="595" spans="1:48" ht="12.75">
      <c r="A595" s="70" t="s">
        <v>808</v>
      </c>
      <c r="B595" s="70" t="s">
        <v>1187</v>
      </c>
      <c r="C595" s="70" t="s">
        <v>10</v>
      </c>
      <c r="D595" s="70" t="s">
        <v>146</v>
      </c>
      <c r="E595" s="71">
        <v>4.35</v>
      </c>
      <c r="F595" s="72"/>
      <c r="G595" s="72">
        <f>E595*AE595</f>
        <v>0</v>
      </c>
      <c r="H595" s="72">
        <f>I595-G595</f>
        <v>0</v>
      </c>
      <c r="I595" s="72">
        <f>E595*F595</f>
        <v>0</v>
      </c>
      <c r="J595" s="72">
        <v>0.001</v>
      </c>
      <c r="K595" s="72">
        <f>E595*J595</f>
        <v>0.00435</v>
      </c>
      <c r="L595" s="73" t="s">
        <v>170</v>
      </c>
      <c r="M595" s="39"/>
      <c r="N595" s="39"/>
      <c r="P595" s="11">
        <f>IF(AG595="5",I595,0)</f>
        <v>0</v>
      </c>
      <c r="R595" s="11">
        <f>IF(AG595="1",G595,0)</f>
        <v>0</v>
      </c>
      <c r="S595" s="11">
        <f>IF(AG595="1",H595,0)</f>
        <v>0</v>
      </c>
      <c r="T595" s="11">
        <f>IF(AG595="7",G595,0)</f>
        <v>0</v>
      </c>
      <c r="U595" s="11">
        <f>IF(AG595="7",H595,0)</f>
        <v>0</v>
      </c>
      <c r="V595" s="11">
        <f>IF(AG595="2",G595,0)</f>
        <v>0</v>
      </c>
      <c r="W595" s="11">
        <f>IF(AG595="2",H595,0)</f>
        <v>0</v>
      </c>
      <c r="X595" s="11">
        <f>IF(AG595="0",I595,0)</f>
        <v>0</v>
      </c>
      <c r="Y595" s="6"/>
      <c r="Z595" s="5">
        <f>IF(AD595=0,I595,0)</f>
        <v>0</v>
      </c>
      <c r="AA595" s="5">
        <f>IF(AD595=15,I595,0)</f>
        <v>0</v>
      </c>
      <c r="AB595" s="5">
        <f>IF(AD595=21,I595,0)</f>
        <v>0</v>
      </c>
      <c r="AD595" s="11">
        <v>21</v>
      </c>
      <c r="AE595" s="11">
        <f>F595*1</f>
        <v>0</v>
      </c>
      <c r="AF595" s="11">
        <f>F595*(1-1)</f>
        <v>0</v>
      </c>
      <c r="AG595" s="8" t="s">
        <v>504</v>
      </c>
      <c r="AM595" s="11">
        <f>E595*AE595</f>
        <v>0</v>
      </c>
      <c r="AN595" s="11">
        <f>E595*AF595</f>
        <v>0</v>
      </c>
      <c r="AO595" s="12" t="s">
        <v>206</v>
      </c>
      <c r="AP595" s="12" t="s">
        <v>229</v>
      </c>
      <c r="AQ595" s="6" t="s">
        <v>234</v>
      </c>
      <c r="AS595" s="11">
        <f>AM595+AN595</f>
        <v>0</v>
      </c>
      <c r="AT595" s="11">
        <f>F595/(100-AU595)*100</f>
        <v>0</v>
      </c>
      <c r="AU595" s="11">
        <v>0</v>
      </c>
      <c r="AV595" s="11">
        <f>K595</f>
        <v>0.00435</v>
      </c>
    </row>
    <row r="596" spans="1:14" ht="12.75">
      <c r="A596" s="39"/>
      <c r="B596" s="39"/>
      <c r="C596" s="63" t="s">
        <v>11</v>
      </c>
      <c r="D596" s="39"/>
      <c r="E596" s="64">
        <v>4.35</v>
      </c>
      <c r="F596" s="39"/>
      <c r="G596" s="39"/>
      <c r="H596" s="39"/>
      <c r="I596" s="39"/>
      <c r="J596" s="39"/>
      <c r="K596" s="39"/>
      <c r="L596" s="39"/>
      <c r="M596" s="39"/>
      <c r="N596" s="39"/>
    </row>
    <row r="597" spans="1:48" ht="12.75">
      <c r="A597" s="70" t="s">
        <v>809</v>
      </c>
      <c r="B597" s="70" t="s">
        <v>1188</v>
      </c>
      <c r="C597" s="70" t="s">
        <v>12</v>
      </c>
      <c r="D597" s="70" t="s">
        <v>145</v>
      </c>
      <c r="E597" s="71">
        <v>4</v>
      </c>
      <c r="F597" s="72"/>
      <c r="G597" s="72">
        <f>E597*AE597</f>
        <v>0</v>
      </c>
      <c r="H597" s="72">
        <f>I597-G597</f>
        <v>0</v>
      </c>
      <c r="I597" s="72">
        <f>E597*F597</f>
        <v>0</v>
      </c>
      <c r="J597" s="72">
        <v>0.001</v>
      </c>
      <c r="K597" s="72">
        <f>E597*J597</f>
        <v>0.004</v>
      </c>
      <c r="L597" s="73" t="s">
        <v>170</v>
      </c>
      <c r="M597" s="39"/>
      <c r="N597" s="39"/>
      <c r="P597" s="11">
        <f>IF(AG597="5",I597,0)</f>
        <v>0</v>
      </c>
      <c r="R597" s="11">
        <f>IF(AG597="1",G597,0)</f>
        <v>0</v>
      </c>
      <c r="S597" s="11">
        <f>IF(AG597="1",H597,0)</f>
        <v>0</v>
      </c>
      <c r="T597" s="11">
        <f>IF(AG597="7",G597,0)</f>
        <v>0</v>
      </c>
      <c r="U597" s="11">
        <f>IF(AG597="7",H597,0)</f>
        <v>0</v>
      </c>
      <c r="V597" s="11">
        <f>IF(AG597="2",G597,0)</f>
        <v>0</v>
      </c>
      <c r="W597" s="11">
        <f>IF(AG597="2",H597,0)</f>
        <v>0</v>
      </c>
      <c r="X597" s="11">
        <f>IF(AG597="0",I597,0)</f>
        <v>0</v>
      </c>
      <c r="Y597" s="6"/>
      <c r="Z597" s="5">
        <f>IF(AD597=0,I597,0)</f>
        <v>0</v>
      </c>
      <c r="AA597" s="5">
        <f>IF(AD597=15,I597,0)</f>
        <v>0</v>
      </c>
      <c r="AB597" s="5">
        <f>IF(AD597=21,I597,0)</f>
        <v>0</v>
      </c>
      <c r="AD597" s="11">
        <v>21</v>
      </c>
      <c r="AE597" s="11">
        <f>F597*1</f>
        <v>0</v>
      </c>
      <c r="AF597" s="11">
        <f>F597*(1-1)</f>
        <v>0</v>
      </c>
      <c r="AG597" s="8" t="s">
        <v>504</v>
      </c>
      <c r="AM597" s="11">
        <f>E597*AE597</f>
        <v>0</v>
      </c>
      <c r="AN597" s="11">
        <f>E597*AF597</f>
        <v>0</v>
      </c>
      <c r="AO597" s="12" t="s">
        <v>206</v>
      </c>
      <c r="AP597" s="12" t="s">
        <v>229</v>
      </c>
      <c r="AQ597" s="6" t="s">
        <v>234</v>
      </c>
      <c r="AS597" s="11">
        <f>AM597+AN597</f>
        <v>0</v>
      </c>
      <c r="AT597" s="11">
        <f>F597/(100-AU597)*100</f>
        <v>0</v>
      </c>
      <c r="AU597" s="11">
        <v>0</v>
      </c>
      <c r="AV597" s="11">
        <f>K597</f>
        <v>0.004</v>
      </c>
    </row>
    <row r="598" spans="1:14" ht="12.75">
      <c r="A598" s="39"/>
      <c r="B598" s="39"/>
      <c r="C598" s="63" t="s">
        <v>13</v>
      </c>
      <c r="D598" s="39"/>
      <c r="E598" s="64">
        <v>4</v>
      </c>
      <c r="F598" s="39"/>
      <c r="G598" s="39"/>
      <c r="H598" s="39"/>
      <c r="I598" s="39"/>
      <c r="J598" s="39"/>
      <c r="K598" s="39"/>
      <c r="L598" s="39"/>
      <c r="M598" s="39"/>
      <c r="N598" s="39"/>
    </row>
    <row r="599" spans="1:48" ht="12.75">
      <c r="A599" s="59" t="s">
        <v>810</v>
      </c>
      <c r="B599" s="59" t="s">
        <v>1189</v>
      </c>
      <c r="C599" s="59" t="s">
        <v>14</v>
      </c>
      <c r="D599" s="59" t="s">
        <v>143</v>
      </c>
      <c r="E599" s="60">
        <v>7.443</v>
      </c>
      <c r="F599" s="61"/>
      <c r="G599" s="61">
        <f>E599*AE599</f>
        <v>0</v>
      </c>
      <c r="H599" s="61">
        <f>I599-G599</f>
        <v>0</v>
      </c>
      <c r="I599" s="61">
        <f>E599*F599</f>
        <v>0</v>
      </c>
      <c r="J599" s="61">
        <v>0</v>
      </c>
      <c r="K599" s="61">
        <f>E599*J599</f>
        <v>0</v>
      </c>
      <c r="L599" s="62" t="s">
        <v>170</v>
      </c>
      <c r="M599" s="39"/>
      <c r="N599" s="39"/>
      <c r="P599" s="11">
        <f>IF(AG599="5",I599,0)</f>
        <v>0</v>
      </c>
      <c r="R599" s="11">
        <f>IF(AG599="1",G599,0)</f>
        <v>0</v>
      </c>
      <c r="S599" s="11">
        <f>IF(AG599="1",H599,0)</f>
        <v>0</v>
      </c>
      <c r="T599" s="11">
        <f>IF(AG599="7",G599,0)</f>
        <v>0</v>
      </c>
      <c r="U599" s="11">
        <f>IF(AG599="7",H599,0)</f>
        <v>0</v>
      </c>
      <c r="V599" s="11">
        <f>IF(AG599="2",G599,0)</f>
        <v>0</v>
      </c>
      <c r="W599" s="11">
        <f>IF(AG599="2",H599,0)</f>
        <v>0</v>
      </c>
      <c r="X599" s="11">
        <f>IF(AG599="0",I599,0)</f>
        <v>0</v>
      </c>
      <c r="Y599" s="6"/>
      <c r="Z599" s="4">
        <f>IF(AD599=0,I599,0)</f>
        <v>0</v>
      </c>
      <c r="AA599" s="4">
        <f>IF(AD599=15,I599,0)</f>
        <v>0</v>
      </c>
      <c r="AB599" s="4">
        <f>IF(AD599=21,I599,0)</f>
        <v>0</v>
      </c>
      <c r="AD599" s="11">
        <v>21</v>
      </c>
      <c r="AE599" s="11">
        <f>F599*0</f>
        <v>0</v>
      </c>
      <c r="AF599" s="11">
        <f>F599*(1-0)</f>
        <v>0</v>
      </c>
      <c r="AG599" s="7" t="s">
        <v>502</v>
      </c>
      <c r="AM599" s="11">
        <f>E599*AE599</f>
        <v>0</v>
      </c>
      <c r="AN599" s="11">
        <f>E599*AF599</f>
        <v>0</v>
      </c>
      <c r="AO599" s="12" t="s">
        <v>206</v>
      </c>
      <c r="AP599" s="12" t="s">
        <v>229</v>
      </c>
      <c r="AQ599" s="6" t="s">
        <v>234</v>
      </c>
      <c r="AS599" s="11">
        <f>AM599+AN599</f>
        <v>0</v>
      </c>
      <c r="AT599" s="11">
        <f>F599/(100-AU599)*100</f>
        <v>0</v>
      </c>
      <c r="AU599" s="11">
        <v>0</v>
      </c>
      <c r="AV599" s="11">
        <f>K599</f>
        <v>0</v>
      </c>
    </row>
    <row r="600" spans="1:37" ht="12.75">
      <c r="A600" s="66"/>
      <c r="B600" s="67" t="s">
        <v>1190</v>
      </c>
      <c r="C600" s="305" t="s">
        <v>15</v>
      </c>
      <c r="D600" s="306"/>
      <c r="E600" s="306"/>
      <c r="F600" s="306"/>
      <c r="G600" s="68">
        <f>SUM(G601:G614)</f>
        <v>0</v>
      </c>
      <c r="H600" s="68">
        <f>SUM(H601:H614)</f>
        <v>0</v>
      </c>
      <c r="I600" s="68">
        <f>G600+H600</f>
        <v>0</v>
      </c>
      <c r="J600" s="69"/>
      <c r="K600" s="68">
        <f>SUM(K601:K614)</f>
        <v>3.6184996</v>
      </c>
      <c r="L600" s="69"/>
      <c r="M600" s="39"/>
      <c r="N600" s="39"/>
      <c r="Y600" s="6"/>
      <c r="AI600" s="13">
        <f>SUM(Z601:Z614)</f>
        <v>0</v>
      </c>
      <c r="AJ600" s="13">
        <f>SUM(AA601:AA614)</f>
        <v>0</v>
      </c>
      <c r="AK600" s="13">
        <f>SUM(AB601:AB614)</f>
        <v>0</v>
      </c>
    </row>
    <row r="601" spans="1:48" ht="12.75">
      <c r="A601" s="59" t="s">
        <v>811</v>
      </c>
      <c r="B601" s="59" t="s">
        <v>1191</v>
      </c>
      <c r="C601" s="59" t="s">
        <v>16</v>
      </c>
      <c r="D601" s="59" t="s">
        <v>142</v>
      </c>
      <c r="E601" s="60">
        <v>37.2</v>
      </c>
      <c r="F601" s="61"/>
      <c r="G601" s="61">
        <f>E601*AE601</f>
        <v>0</v>
      </c>
      <c r="H601" s="61">
        <f>I601-G601</f>
        <v>0</v>
      </c>
      <c r="I601" s="61">
        <f>E601*F601</f>
        <v>0</v>
      </c>
      <c r="J601" s="61">
        <v>0.07614</v>
      </c>
      <c r="K601" s="61">
        <f>E601*J601</f>
        <v>2.832408</v>
      </c>
      <c r="L601" s="62" t="s">
        <v>170</v>
      </c>
      <c r="M601" s="39"/>
      <c r="N601" s="39"/>
      <c r="P601" s="11">
        <f>IF(AG601="5",I601,0)</f>
        <v>0</v>
      </c>
      <c r="R601" s="11">
        <f>IF(AG601="1",G601,0)</f>
        <v>0</v>
      </c>
      <c r="S601" s="11">
        <f>IF(AG601="1",H601,0)</f>
        <v>0</v>
      </c>
      <c r="T601" s="11">
        <f>IF(AG601="7",G601,0)</f>
        <v>0</v>
      </c>
      <c r="U601" s="11">
        <f>IF(AG601="7",H601,0)</f>
        <v>0</v>
      </c>
      <c r="V601" s="11">
        <f>IF(AG601="2",G601,0)</f>
        <v>0</v>
      </c>
      <c r="W601" s="11">
        <f>IF(AG601="2",H601,0)</f>
        <v>0</v>
      </c>
      <c r="X601" s="11">
        <f>IF(AG601="0",I601,0)</f>
        <v>0</v>
      </c>
      <c r="Y601" s="6"/>
      <c r="Z601" s="4">
        <f>IF(AD601=0,I601,0)</f>
        <v>0</v>
      </c>
      <c r="AA601" s="4">
        <f>IF(AD601=15,I601,0)</f>
        <v>0</v>
      </c>
      <c r="AB601" s="4">
        <f>IF(AD601=21,I601,0)</f>
        <v>0</v>
      </c>
      <c r="AD601" s="11">
        <v>21</v>
      </c>
      <c r="AE601" s="11">
        <f>F601*0.529096011932799</f>
        <v>0</v>
      </c>
      <c r="AF601" s="11">
        <f>F601*(1-0.529096011932799)</f>
        <v>0</v>
      </c>
      <c r="AG601" s="7" t="s">
        <v>504</v>
      </c>
      <c r="AM601" s="11">
        <f>E601*AE601</f>
        <v>0</v>
      </c>
      <c r="AN601" s="11">
        <f>E601*AF601</f>
        <v>0</v>
      </c>
      <c r="AO601" s="12" t="s">
        <v>207</v>
      </c>
      <c r="AP601" s="12" t="s">
        <v>230</v>
      </c>
      <c r="AQ601" s="6" t="s">
        <v>234</v>
      </c>
      <c r="AS601" s="11">
        <f>AM601+AN601</f>
        <v>0</v>
      </c>
      <c r="AT601" s="11">
        <f>F601/(100-AU601)*100</f>
        <v>0</v>
      </c>
      <c r="AU601" s="11">
        <v>0</v>
      </c>
      <c r="AV601" s="11">
        <f>K601</f>
        <v>2.832408</v>
      </c>
    </row>
    <row r="602" spans="1:14" ht="12.75">
      <c r="A602" s="39"/>
      <c r="B602" s="39"/>
      <c r="C602" s="63" t="s">
        <v>1518</v>
      </c>
      <c r="D602" s="39"/>
      <c r="E602" s="64">
        <v>32.6</v>
      </c>
      <c r="F602" s="39"/>
      <c r="G602" s="39"/>
      <c r="H602" s="39"/>
      <c r="I602" s="39"/>
      <c r="J602" s="39"/>
      <c r="K602" s="39"/>
      <c r="L602" s="39"/>
      <c r="M602" s="39"/>
      <c r="N602" s="39"/>
    </row>
    <row r="603" spans="1:14" ht="12.75">
      <c r="A603" s="39"/>
      <c r="B603" s="39"/>
      <c r="C603" s="63" t="s">
        <v>17</v>
      </c>
      <c r="D603" s="39"/>
      <c r="E603" s="64">
        <v>4.6</v>
      </c>
      <c r="F603" s="39"/>
      <c r="G603" s="39"/>
      <c r="H603" s="39"/>
      <c r="I603" s="39"/>
      <c r="J603" s="39"/>
      <c r="K603" s="39"/>
      <c r="L603" s="39"/>
      <c r="M603" s="39"/>
      <c r="N603" s="39"/>
    </row>
    <row r="604" spans="1:48" ht="12.75">
      <c r="A604" s="59" t="s">
        <v>812</v>
      </c>
      <c r="B604" s="59" t="s">
        <v>1192</v>
      </c>
      <c r="C604" s="59" t="s">
        <v>18</v>
      </c>
      <c r="D604" s="59" t="s">
        <v>142</v>
      </c>
      <c r="E604" s="60">
        <v>123.14</v>
      </c>
      <c r="F604" s="61"/>
      <c r="G604" s="61">
        <f>E604*AE604</f>
        <v>0</v>
      </c>
      <c r="H604" s="61">
        <f>I604-G604</f>
        <v>0</v>
      </c>
      <c r="I604" s="61">
        <f>E604*F604</f>
        <v>0</v>
      </c>
      <c r="J604" s="61">
        <v>0.00514</v>
      </c>
      <c r="K604" s="61">
        <f>E604*J604</f>
        <v>0.6329395999999999</v>
      </c>
      <c r="L604" s="62" t="s">
        <v>170</v>
      </c>
      <c r="M604" s="39"/>
      <c r="N604" s="39"/>
      <c r="P604" s="11">
        <f>IF(AG604="5",I604,0)</f>
        <v>0</v>
      </c>
      <c r="R604" s="11">
        <f>IF(AG604="1",G604,0)</f>
        <v>0</v>
      </c>
      <c r="S604" s="11">
        <f>IF(AG604="1",H604,0)</f>
        <v>0</v>
      </c>
      <c r="T604" s="11">
        <f>IF(AG604="7",G604,0)</f>
        <v>0</v>
      </c>
      <c r="U604" s="11">
        <f>IF(AG604="7",H604,0)</f>
        <v>0</v>
      </c>
      <c r="V604" s="11">
        <f>IF(AG604="2",G604,0)</f>
        <v>0</v>
      </c>
      <c r="W604" s="11">
        <f>IF(AG604="2",H604,0)</f>
        <v>0</v>
      </c>
      <c r="X604" s="11">
        <f>IF(AG604="0",I604,0)</f>
        <v>0</v>
      </c>
      <c r="Y604" s="6"/>
      <c r="Z604" s="4">
        <f>IF(AD604=0,I604,0)</f>
        <v>0</v>
      </c>
      <c r="AA604" s="4">
        <f>IF(AD604=15,I604,0)</f>
        <v>0</v>
      </c>
      <c r="AB604" s="4">
        <f>IF(AD604=21,I604,0)</f>
        <v>0</v>
      </c>
      <c r="AD604" s="11">
        <v>21</v>
      </c>
      <c r="AE604" s="11">
        <f>F604*0.454929372360565</f>
        <v>0</v>
      </c>
      <c r="AF604" s="11">
        <f>F604*(1-0.454929372360565)</f>
        <v>0</v>
      </c>
      <c r="AG604" s="7" t="s">
        <v>504</v>
      </c>
      <c r="AM604" s="11">
        <f>E604*AE604</f>
        <v>0</v>
      </c>
      <c r="AN604" s="11">
        <f>E604*AF604</f>
        <v>0</v>
      </c>
      <c r="AO604" s="12" t="s">
        <v>207</v>
      </c>
      <c r="AP604" s="12" t="s">
        <v>230</v>
      </c>
      <c r="AQ604" s="6" t="s">
        <v>234</v>
      </c>
      <c r="AS604" s="11">
        <f>AM604+AN604</f>
        <v>0</v>
      </c>
      <c r="AT604" s="11">
        <f>F604/(100-AU604)*100</f>
        <v>0</v>
      </c>
      <c r="AU604" s="11">
        <v>0</v>
      </c>
      <c r="AV604" s="11">
        <f>K604</f>
        <v>0.6329395999999999</v>
      </c>
    </row>
    <row r="605" spans="1:14" ht="12.75">
      <c r="A605" s="39"/>
      <c r="B605" s="39"/>
      <c r="C605" s="63" t="s">
        <v>1540</v>
      </c>
      <c r="D605" s="39"/>
      <c r="E605" s="64">
        <v>46</v>
      </c>
      <c r="F605" s="39"/>
      <c r="G605" s="39"/>
      <c r="H605" s="39"/>
      <c r="I605" s="39"/>
      <c r="J605" s="39"/>
      <c r="K605" s="39"/>
      <c r="L605" s="39"/>
      <c r="M605" s="39"/>
      <c r="N605" s="39"/>
    </row>
    <row r="606" spans="1:14" ht="12.75">
      <c r="A606" s="39"/>
      <c r="B606" s="39"/>
      <c r="C606" s="63" t="s">
        <v>19</v>
      </c>
      <c r="D606" s="39"/>
      <c r="E606" s="64">
        <v>77.14</v>
      </c>
      <c r="F606" s="39"/>
      <c r="G606" s="39"/>
      <c r="H606" s="39"/>
      <c r="I606" s="39"/>
      <c r="J606" s="39"/>
      <c r="K606" s="39"/>
      <c r="L606" s="39"/>
      <c r="M606" s="39"/>
      <c r="N606" s="39"/>
    </row>
    <row r="607" spans="1:48" ht="12.75">
      <c r="A607" s="59" t="s">
        <v>813</v>
      </c>
      <c r="B607" s="59" t="s">
        <v>1193</v>
      </c>
      <c r="C607" s="59" t="s">
        <v>20</v>
      </c>
      <c r="D607" s="59" t="s">
        <v>146</v>
      </c>
      <c r="E607" s="60">
        <v>5.4</v>
      </c>
      <c r="F607" s="61"/>
      <c r="G607" s="61">
        <f>E607*AE607</f>
        <v>0</v>
      </c>
      <c r="H607" s="61">
        <f>I607-G607</f>
        <v>0</v>
      </c>
      <c r="I607" s="61">
        <f>E607*F607</f>
        <v>0</v>
      </c>
      <c r="J607" s="61">
        <v>0.00026</v>
      </c>
      <c r="K607" s="61">
        <f>E607*J607</f>
        <v>0.0014039999999999999</v>
      </c>
      <c r="L607" s="62" t="s">
        <v>170</v>
      </c>
      <c r="M607" s="39"/>
      <c r="N607" s="39"/>
      <c r="P607" s="11">
        <f>IF(AG607="5",I607,0)</f>
        <v>0</v>
      </c>
      <c r="R607" s="11">
        <f>IF(AG607="1",G607,0)</f>
        <v>0</v>
      </c>
      <c r="S607" s="11">
        <f>IF(AG607="1",H607,0)</f>
        <v>0</v>
      </c>
      <c r="T607" s="11">
        <f>IF(AG607="7",G607,0)</f>
        <v>0</v>
      </c>
      <c r="U607" s="11">
        <f>IF(AG607="7",H607,0)</f>
        <v>0</v>
      </c>
      <c r="V607" s="11">
        <f>IF(AG607="2",G607,0)</f>
        <v>0</v>
      </c>
      <c r="W607" s="11">
        <f>IF(AG607="2",H607,0)</f>
        <v>0</v>
      </c>
      <c r="X607" s="11">
        <f>IF(AG607="0",I607,0)</f>
        <v>0</v>
      </c>
      <c r="Y607" s="6"/>
      <c r="Z607" s="4">
        <f>IF(AD607=0,I607,0)</f>
        <v>0</v>
      </c>
      <c r="AA607" s="4">
        <f>IF(AD607=15,I607,0)</f>
        <v>0</v>
      </c>
      <c r="AB607" s="4">
        <f>IF(AD607=21,I607,0)</f>
        <v>0</v>
      </c>
      <c r="AD607" s="11">
        <v>21</v>
      </c>
      <c r="AE607" s="11">
        <f>F607*0.807</f>
        <v>0</v>
      </c>
      <c r="AF607" s="11">
        <f>F607*(1-0.807)</f>
        <v>0</v>
      </c>
      <c r="AG607" s="7" t="s">
        <v>504</v>
      </c>
      <c r="AM607" s="11">
        <f>E607*AE607</f>
        <v>0</v>
      </c>
      <c r="AN607" s="11">
        <f>E607*AF607</f>
        <v>0</v>
      </c>
      <c r="AO607" s="12" t="s">
        <v>207</v>
      </c>
      <c r="AP607" s="12" t="s">
        <v>230</v>
      </c>
      <c r="AQ607" s="6" t="s">
        <v>234</v>
      </c>
      <c r="AS607" s="11">
        <f>AM607+AN607</f>
        <v>0</v>
      </c>
      <c r="AT607" s="11">
        <f>F607/(100-AU607)*100</f>
        <v>0</v>
      </c>
      <c r="AU607" s="11">
        <v>0</v>
      </c>
      <c r="AV607" s="11">
        <f>K607</f>
        <v>0.0014039999999999999</v>
      </c>
    </row>
    <row r="608" spans="1:14" ht="12.75">
      <c r="A608" s="39"/>
      <c r="B608" s="39"/>
      <c r="C608" s="63" t="s">
        <v>21</v>
      </c>
      <c r="D608" s="39"/>
      <c r="E608" s="64">
        <v>5.4</v>
      </c>
      <c r="F608" s="39"/>
      <c r="G608" s="39"/>
      <c r="H608" s="39"/>
      <c r="I608" s="39"/>
      <c r="J608" s="39"/>
      <c r="K608" s="39"/>
      <c r="L608" s="39"/>
      <c r="M608" s="39"/>
      <c r="N608" s="39"/>
    </row>
    <row r="609" spans="1:48" ht="12.75">
      <c r="A609" s="59" t="s">
        <v>814</v>
      </c>
      <c r="B609" s="59" t="s">
        <v>1194</v>
      </c>
      <c r="C609" s="59" t="s">
        <v>22</v>
      </c>
      <c r="D609" s="59" t="s">
        <v>146</v>
      </c>
      <c r="E609" s="60">
        <v>62.4</v>
      </c>
      <c r="F609" s="61"/>
      <c r="G609" s="61">
        <f>E609*AE609</f>
        <v>0</v>
      </c>
      <c r="H609" s="61">
        <f>I609-G609</f>
        <v>0</v>
      </c>
      <c r="I609" s="61">
        <f>E609*F609</f>
        <v>0</v>
      </c>
      <c r="J609" s="61">
        <v>0.00032</v>
      </c>
      <c r="K609" s="61">
        <f>E609*J609</f>
        <v>0.019968</v>
      </c>
      <c r="L609" s="62" t="s">
        <v>170</v>
      </c>
      <c r="M609" s="39"/>
      <c r="N609" s="39"/>
      <c r="P609" s="11">
        <f>IF(AG609="5",I609,0)</f>
        <v>0</v>
      </c>
      <c r="R609" s="11">
        <f>IF(AG609="1",G609,0)</f>
        <v>0</v>
      </c>
      <c r="S609" s="11">
        <f>IF(AG609="1",H609,0)</f>
        <v>0</v>
      </c>
      <c r="T609" s="11">
        <f>IF(AG609="7",G609,0)</f>
        <v>0</v>
      </c>
      <c r="U609" s="11">
        <f>IF(AG609="7",H609,0)</f>
        <v>0</v>
      </c>
      <c r="V609" s="11">
        <f>IF(AG609="2",G609,0)</f>
        <v>0</v>
      </c>
      <c r="W609" s="11">
        <f>IF(AG609="2",H609,0)</f>
        <v>0</v>
      </c>
      <c r="X609" s="11">
        <f>IF(AG609="0",I609,0)</f>
        <v>0</v>
      </c>
      <c r="Y609" s="6"/>
      <c r="Z609" s="4">
        <f>IF(AD609=0,I609,0)</f>
        <v>0</v>
      </c>
      <c r="AA609" s="4">
        <f>IF(AD609=15,I609,0)</f>
        <v>0</v>
      </c>
      <c r="AB609" s="4">
        <f>IF(AD609=21,I609,0)</f>
        <v>0</v>
      </c>
      <c r="AD609" s="11">
        <v>21</v>
      </c>
      <c r="AE609" s="11">
        <f>F609*0.0855913978494624</f>
        <v>0</v>
      </c>
      <c r="AF609" s="11">
        <f>F609*(1-0.0855913978494624)</f>
        <v>0</v>
      </c>
      <c r="AG609" s="7" t="s">
        <v>504</v>
      </c>
      <c r="AM609" s="11">
        <f>E609*AE609</f>
        <v>0</v>
      </c>
      <c r="AN609" s="11">
        <f>E609*AF609</f>
        <v>0</v>
      </c>
      <c r="AO609" s="12" t="s">
        <v>207</v>
      </c>
      <c r="AP609" s="12" t="s">
        <v>230</v>
      </c>
      <c r="AQ609" s="6" t="s">
        <v>234</v>
      </c>
      <c r="AS609" s="11">
        <f>AM609+AN609</f>
        <v>0</v>
      </c>
      <c r="AT609" s="11">
        <f>F609/(100-AU609)*100</f>
        <v>0</v>
      </c>
      <c r="AU609" s="11">
        <v>0</v>
      </c>
      <c r="AV609" s="11">
        <f>K609</f>
        <v>0.019968</v>
      </c>
    </row>
    <row r="610" spans="1:14" ht="12.75">
      <c r="A610" s="39"/>
      <c r="B610" s="39"/>
      <c r="C610" s="63" t="s">
        <v>23</v>
      </c>
      <c r="D610" s="39"/>
      <c r="E610" s="64">
        <v>62.4</v>
      </c>
      <c r="F610" s="39"/>
      <c r="G610" s="39"/>
      <c r="H610" s="39"/>
      <c r="I610" s="39"/>
      <c r="J610" s="39"/>
      <c r="K610" s="39"/>
      <c r="L610" s="39"/>
      <c r="M610" s="39"/>
      <c r="N610" s="39"/>
    </row>
    <row r="611" spans="1:48" ht="12.75">
      <c r="A611" s="70" t="s">
        <v>815</v>
      </c>
      <c r="B611" s="70" t="s">
        <v>1195</v>
      </c>
      <c r="C611" s="70" t="s">
        <v>24</v>
      </c>
      <c r="D611" s="70" t="s">
        <v>142</v>
      </c>
      <c r="E611" s="71">
        <v>5.99</v>
      </c>
      <c r="F611" s="72"/>
      <c r="G611" s="72">
        <f>E611*AE611</f>
        <v>0</v>
      </c>
      <c r="H611" s="72">
        <f>I611-G611</f>
        <v>0</v>
      </c>
      <c r="I611" s="72">
        <f>E611*F611</f>
        <v>0</v>
      </c>
      <c r="J611" s="72">
        <v>0.022</v>
      </c>
      <c r="K611" s="72">
        <f>E611*J611</f>
        <v>0.13178</v>
      </c>
      <c r="L611" s="73" t="s">
        <v>170</v>
      </c>
      <c r="M611" s="39"/>
      <c r="N611" s="39"/>
      <c r="P611" s="11">
        <f>IF(AG611="5",I611,0)</f>
        <v>0</v>
      </c>
      <c r="R611" s="11">
        <f>IF(AG611="1",G611,0)</f>
        <v>0</v>
      </c>
      <c r="S611" s="11">
        <f>IF(AG611="1",H611,0)</f>
        <v>0</v>
      </c>
      <c r="T611" s="11">
        <f>IF(AG611="7",G611,0)</f>
        <v>0</v>
      </c>
      <c r="U611" s="11">
        <f>IF(AG611="7",H611,0)</f>
        <v>0</v>
      </c>
      <c r="V611" s="11">
        <f>IF(AG611="2",G611,0)</f>
        <v>0</v>
      </c>
      <c r="W611" s="11">
        <f>IF(AG611="2",H611,0)</f>
        <v>0</v>
      </c>
      <c r="X611" s="11">
        <f>IF(AG611="0",I611,0)</f>
        <v>0</v>
      </c>
      <c r="Y611" s="6"/>
      <c r="Z611" s="5">
        <f>IF(AD611=0,I611,0)</f>
        <v>0</v>
      </c>
      <c r="AA611" s="5">
        <f>IF(AD611=15,I611,0)</f>
        <v>0</v>
      </c>
      <c r="AB611" s="5">
        <f>IF(AD611=21,I611,0)</f>
        <v>0</v>
      </c>
      <c r="AD611" s="11">
        <v>21</v>
      </c>
      <c r="AE611" s="11">
        <f>F611*1</f>
        <v>0</v>
      </c>
      <c r="AF611" s="11">
        <f>F611*(1-1)</f>
        <v>0</v>
      </c>
      <c r="AG611" s="8" t="s">
        <v>504</v>
      </c>
      <c r="AM611" s="11">
        <f>E611*AE611</f>
        <v>0</v>
      </c>
      <c r="AN611" s="11">
        <f>E611*AF611</f>
        <v>0</v>
      </c>
      <c r="AO611" s="12" t="s">
        <v>207</v>
      </c>
      <c r="AP611" s="12" t="s">
        <v>230</v>
      </c>
      <c r="AQ611" s="6" t="s">
        <v>234</v>
      </c>
      <c r="AS611" s="11">
        <f>AM611+AN611</f>
        <v>0</v>
      </c>
      <c r="AT611" s="11">
        <f>F611/(100-AU611)*100</f>
        <v>0</v>
      </c>
      <c r="AU611" s="11">
        <v>0</v>
      </c>
      <c r="AV611" s="11">
        <f>K611</f>
        <v>0.13178</v>
      </c>
    </row>
    <row r="612" spans="1:14" ht="12.75">
      <c r="A612" s="39"/>
      <c r="B612" s="39"/>
      <c r="C612" s="63" t="s">
        <v>25</v>
      </c>
      <c r="D612" s="39"/>
      <c r="E612" s="64">
        <v>4.992</v>
      </c>
      <c r="F612" s="39"/>
      <c r="G612" s="39"/>
      <c r="H612" s="39"/>
      <c r="I612" s="39"/>
      <c r="J612" s="39"/>
      <c r="K612" s="39"/>
      <c r="L612" s="39"/>
      <c r="M612" s="39"/>
      <c r="N612" s="39"/>
    </row>
    <row r="613" spans="1:14" ht="12.75">
      <c r="A613" s="39"/>
      <c r="B613" s="39"/>
      <c r="C613" s="63" t="s">
        <v>26</v>
      </c>
      <c r="D613" s="39"/>
      <c r="E613" s="64">
        <v>0.998</v>
      </c>
      <c r="F613" s="39"/>
      <c r="G613" s="39"/>
      <c r="H613" s="39"/>
      <c r="I613" s="39"/>
      <c r="J613" s="39"/>
      <c r="K613" s="39"/>
      <c r="L613" s="39"/>
      <c r="M613" s="39"/>
      <c r="N613" s="39"/>
    </row>
    <row r="614" spans="1:48" ht="12.75">
      <c r="A614" s="59" t="s">
        <v>816</v>
      </c>
      <c r="B614" s="59" t="s">
        <v>1196</v>
      </c>
      <c r="C614" s="59" t="s">
        <v>27</v>
      </c>
      <c r="D614" s="59" t="s">
        <v>143</v>
      </c>
      <c r="E614" s="60">
        <v>3.619</v>
      </c>
      <c r="F614" s="61"/>
      <c r="G614" s="61">
        <f>E614*AE614</f>
        <v>0</v>
      </c>
      <c r="H614" s="61">
        <f>I614-G614</f>
        <v>0</v>
      </c>
      <c r="I614" s="61">
        <f>E614*F614</f>
        <v>0</v>
      </c>
      <c r="J614" s="61">
        <v>0</v>
      </c>
      <c r="K614" s="61">
        <f>E614*J614</f>
        <v>0</v>
      </c>
      <c r="L614" s="62" t="s">
        <v>170</v>
      </c>
      <c r="M614" s="39"/>
      <c r="N614" s="39"/>
      <c r="P614" s="11">
        <f>IF(AG614="5",I614,0)</f>
        <v>0</v>
      </c>
      <c r="R614" s="11">
        <f>IF(AG614="1",G614,0)</f>
        <v>0</v>
      </c>
      <c r="S614" s="11">
        <f>IF(AG614="1",H614,0)</f>
        <v>0</v>
      </c>
      <c r="T614" s="11">
        <f>IF(AG614="7",G614,0)</f>
        <v>0</v>
      </c>
      <c r="U614" s="11">
        <f>IF(AG614="7",H614,0)</f>
        <v>0</v>
      </c>
      <c r="V614" s="11">
        <f>IF(AG614="2",G614,0)</f>
        <v>0</v>
      </c>
      <c r="W614" s="11">
        <f>IF(AG614="2",H614,0)</f>
        <v>0</v>
      </c>
      <c r="X614" s="11">
        <f>IF(AG614="0",I614,0)</f>
        <v>0</v>
      </c>
      <c r="Y614" s="6"/>
      <c r="Z614" s="4">
        <f>IF(AD614=0,I614,0)</f>
        <v>0</v>
      </c>
      <c r="AA614" s="4">
        <f>IF(AD614=15,I614,0)</f>
        <v>0</v>
      </c>
      <c r="AB614" s="4">
        <f>IF(AD614=21,I614,0)</f>
        <v>0</v>
      </c>
      <c r="AD614" s="11">
        <v>21</v>
      </c>
      <c r="AE614" s="11">
        <f>F614*0</f>
        <v>0</v>
      </c>
      <c r="AF614" s="11">
        <f>F614*(1-0)</f>
        <v>0</v>
      </c>
      <c r="AG614" s="7" t="s">
        <v>502</v>
      </c>
      <c r="AM614" s="11">
        <f>E614*AE614</f>
        <v>0</v>
      </c>
      <c r="AN614" s="11">
        <f>E614*AF614</f>
        <v>0</v>
      </c>
      <c r="AO614" s="12" t="s">
        <v>207</v>
      </c>
      <c r="AP614" s="12" t="s">
        <v>230</v>
      </c>
      <c r="AQ614" s="6" t="s">
        <v>234</v>
      </c>
      <c r="AS614" s="11">
        <f>AM614+AN614</f>
        <v>0</v>
      </c>
      <c r="AT614" s="11">
        <f>F614/(100-AU614)*100</f>
        <v>0</v>
      </c>
      <c r="AU614" s="11">
        <v>0</v>
      </c>
      <c r="AV614" s="11">
        <f>K614</f>
        <v>0</v>
      </c>
    </row>
    <row r="615" spans="1:37" ht="12.75">
      <c r="A615" s="66"/>
      <c r="B615" s="67" t="s">
        <v>1197</v>
      </c>
      <c r="C615" s="305" t="s">
        <v>28</v>
      </c>
      <c r="D615" s="306"/>
      <c r="E615" s="306"/>
      <c r="F615" s="306"/>
      <c r="G615" s="68">
        <f>SUM(G616:G622)</f>
        <v>0</v>
      </c>
      <c r="H615" s="68">
        <f>SUM(H616:H622)</f>
        <v>0</v>
      </c>
      <c r="I615" s="68">
        <f>G615+H615</f>
        <v>0</v>
      </c>
      <c r="J615" s="69"/>
      <c r="K615" s="68">
        <f>SUM(K616:K622)</f>
        <v>0.5615015</v>
      </c>
      <c r="L615" s="69"/>
      <c r="M615" s="39"/>
      <c r="N615" s="39"/>
      <c r="Y615" s="6"/>
      <c r="AI615" s="13">
        <f>SUM(Z616:Z622)</f>
        <v>0</v>
      </c>
      <c r="AJ615" s="13">
        <f>SUM(AA616:AA622)</f>
        <v>0</v>
      </c>
      <c r="AK615" s="13">
        <f>SUM(AB616:AB622)</f>
        <v>0</v>
      </c>
    </row>
    <row r="616" spans="1:48" ht="12.75">
      <c r="A616" s="59" t="s">
        <v>817</v>
      </c>
      <c r="B616" s="59" t="s">
        <v>1198</v>
      </c>
      <c r="C616" s="59" t="s">
        <v>29</v>
      </c>
      <c r="D616" s="59" t="s">
        <v>142</v>
      </c>
      <c r="E616" s="60">
        <v>123.14</v>
      </c>
      <c r="F616" s="61"/>
      <c r="G616" s="61">
        <f>E616*AE616</f>
        <v>0</v>
      </c>
      <c r="H616" s="61">
        <f>I616-G616</f>
        <v>0</v>
      </c>
      <c r="I616" s="61">
        <f>E616*F616</f>
        <v>0</v>
      </c>
      <c r="J616" s="61">
        <v>0.004</v>
      </c>
      <c r="K616" s="61">
        <f>E616*J616</f>
        <v>0.49256</v>
      </c>
      <c r="L616" s="62" t="s">
        <v>170</v>
      </c>
      <c r="M616" s="39"/>
      <c r="N616" s="39"/>
      <c r="P616" s="11">
        <f>IF(AG616="5",I616,0)</f>
        <v>0</v>
      </c>
      <c r="R616" s="11">
        <f>IF(AG616="1",G616,0)</f>
        <v>0</v>
      </c>
      <c r="S616" s="11">
        <f>IF(AG616="1",H616,0)</f>
        <v>0</v>
      </c>
      <c r="T616" s="11">
        <f>IF(AG616="7",G616,0)</f>
        <v>0</v>
      </c>
      <c r="U616" s="11">
        <f>IF(AG616="7",H616,0)</f>
        <v>0</v>
      </c>
      <c r="V616" s="11">
        <f>IF(AG616="2",G616,0)</f>
        <v>0</v>
      </c>
      <c r="W616" s="11">
        <f>IF(AG616="2",H616,0)</f>
        <v>0</v>
      </c>
      <c r="X616" s="11">
        <f>IF(AG616="0",I616,0)</f>
        <v>0</v>
      </c>
      <c r="Y616" s="6"/>
      <c r="Z616" s="4">
        <f>IF(AD616=0,I616,0)</f>
        <v>0</v>
      </c>
      <c r="AA616" s="4">
        <f>IF(AD616=15,I616,0)</f>
        <v>0</v>
      </c>
      <c r="AB616" s="4">
        <f>IF(AD616=21,I616,0)</f>
        <v>0</v>
      </c>
      <c r="AD616" s="11">
        <v>21</v>
      </c>
      <c r="AE616" s="11">
        <f>F616*0.8203125</f>
        <v>0</v>
      </c>
      <c r="AF616" s="11">
        <f>F616*(1-0.8203125)</f>
        <v>0</v>
      </c>
      <c r="AG616" s="7" t="s">
        <v>504</v>
      </c>
      <c r="AM616" s="11">
        <f>E616*AE616</f>
        <v>0</v>
      </c>
      <c r="AN616" s="11">
        <f>E616*AF616</f>
        <v>0</v>
      </c>
      <c r="AO616" s="12" t="s">
        <v>208</v>
      </c>
      <c r="AP616" s="12" t="s">
        <v>230</v>
      </c>
      <c r="AQ616" s="6" t="s">
        <v>234</v>
      </c>
      <c r="AS616" s="11">
        <f>AM616+AN616</f>
        <v>0</v>
      </c>
      <c r="AT616" s="11">
        <f>F616/(100-AU616)*100</f>
        <v>0</v>
      </c>
      <c r="AU616" s="11">
        <v>0</v>
      </c>
      <c r="AV616" s="11">
        <f>K616</f>
        <v>0.49256</v>
      </c>
    </row>
    <row r="617" spans="1:14" ht="12.75">
      <c r="A617" s="39"/>
      <c r="B617" s="39"/>
      <c r="C617" s="63" t="s">
        <v>1540</v>
      </c>
      <c r="D617" s="39"/>
      <c r="E617" s="64">
        <v>46</v>
      </c>
      <c r="F617" s="39"/>
      <c r="G617" s="39"/>
      <c r="H617" s="39"/>
      <c r="I617" s="39"/>
      <c r="J617" s="39"/>
      <c r="K617" s="39"/>
      <c r="L617" s="39"/>
      <c r="M617" s="39"/>
      <c r="N617" s="39"/>
    </row>
    <row r="618" spans="1:14" ht="12.75">
      <c r="A618" s="39"/>
      <c r="B618" s="39"/>
      <c r="C618" s="63" t="s">
        <v>19</v>
      </c>
      <c r="D618" s="39"/>
      <c r="E618" s="64">
        <v>77.14</v>
      </c>
      <c r="F618" s="39"/>
      <c r="G618" s="39"/>
      <c r="H618" s="39"/>
      <c r="I618" s="39"/>
      <c r="J618" s="39"/>
      <c r="K618" s="39"/>
      <c r="L618" s="39"/>
      <c r="M618" s="39"/>
      <c r="N618" s="39"/>
    </row>
    <row r="619" spans="1:48" ht="12.75">
      <c r="A619" s="59" t="s">
        <v>818</v>
      </c>
      <c r="B619" s="59" t="s">
        <v>1199</v>
      </c>
      <c r="C619" s="59" t="s">
        <v>30</v>
      </c>
      <c r="D619" s="59" t="s">
        <v>146</v>
      </c>
      <c r="E619" s="60">
        <v>116.85</v>
      </c>
      <c r="F619" s="61"/>
      <c r="G619" s="61">
        <f>E619*AE619</f>
        <v>0</v>
      </c>
      <c r="H619" s="61">
        <f>I619-G619</f>
        <v>0</v>
      </c>
      <c r="I619" s="61">
        <f>E619*F619</f>
        <v>0</v>
      </c>
      <c r="J619" s="61">
        <v>0.00059</v>
      </c>
      <c r="K619" s="61">
        <f>E619*J619</f>
        <v>0.0689415</v>
      </c>
      <c r="L619" s="62" t="s">
        <v>170</v>
      </c>
      <c r="M619" s="39"/>
      <c r="N619" s="39"/>
      <c r="P619" s="11">
        <f>IF(AG619="5",I619,0)</f>
        <v>0</v>
      </c>
      <c r="R619" s="11">
        <f>IF(AG619="1",G619,0)</f>
        <v>0</v>
      </c>
      <c r="S619" s="11">
        <f>IF(AG619="1",H619,0)</f>
        <v>0</v>
      </c>
      <c r="T619" s="11">
        <f>IF(AG619="7",G619,0)</f>
        <v>0</v>
      </c>
      <c r="U619" s="11">
        <f>IF(AG619="7",H619,0)</f>
        <v>0</v>
      </c>
      <c r="V619" s="11">
        <f>IF(AG619="2",G619,0)</f>
        <v>0</v>
      </c>
      <c r="W619" s="11">
        <f>IF(AG619="2",H619,0)</f>
        <v>0</v>
      </c>
      <c r="X619" s="11">
        <f>IF(AG619="0",I619,0)</f>
        <v>0</v>
      </c>
      <c r="Y619" s="6"/>
      <c r="Z619" s="4">
        <f>IF(AD619=0,I619,0)</f>
        <v>0</v>
      </c>
      <c r="AA619" s="4">
        <f>IF(AD619=15,I619,0)</f>
        <v>0</v>
      </c>
      <c r="AB619" s="4">
        <f>IF(AD619=21,I619,0)</f>
        <v>0</v>
      </c>
      <c r="AD619" s="11">
        <v>21</v>
      </c>
      <c r="AE619" s="11">
        <f>F619*0.353180661577608</f>
        <v>0</v>
      </c>
      <c r="AF619" s="11">
        <f>F619*(1-0.353180661577608)</f>
        <v>0</v>
      </c>
      <c r="AG619" s="7" t="s">
        <v>504</v>
      </c>
      <c r="AM619" s="11">
        <f>E619*AE619</f>
        <v>0</v>
      </c>
      <c r="AN619" s="11">
        <f>E619*AF619</f>
        <v>0</v>
      </c>
      <c r="AO619" s="12" t="s">
        <v>208</v>
      </c>
      <c r="AP619" s="12" t="s">
        <v>230</v>
      </c>
      <c r="AQ619" s="6" t="s">
        <v>234</v>
      </c>
      <c r="AS619" s="11">
        <f>AM619+AN619</f>
        <v>0</v>
      </c>
      <c r="AT619" s="11">
        <f>F619/(100-AU619)*100</f>
        <v>0</v>
      </c>
      <c r="AU619" s="11">
        <v>0</v>
      </c>
      <c r="AV619" s="11">
        <f>K619</f>
        <v>0.0689415</v>
      </c>
    </row>
    <row r="620" spans="1:14" ht="12.75">
      <c r="A620" s="39"/>
      <c r="B620" s="39"/>
      <c r="C620" s="63" t="s">
        <v>1531</v>
      </c>
      <c r="D620" s="39"/>
      <c r="E620" s="64">
        <v>45.55</v>
      </c>
      <c r="F620" s="39"/>
      <c r="G620" s="39"/>
      <c r="H620" s="39"/>
      <c r="I620" s="39"/>
      <c r="J620" s="39"/>
      <c r="K620" s="39"/>
      <c r="L620" s="39"/>
      <c r="M620" s="39"/>
      <c r="N620" s="39"/>
    </row>
    <row r="621" spans="1:14" ht="12.75">
      <c r="A621" s="39"/>
      <c r="B621" s="39"/>
      <c r="C621" s="63" t="s">
        <v>31</v>
      </c>
      <c r="D621" s="39"/>
      <c r="E621" s="64">
        <v>71.3</v>
      </c>
      <c r="F621" s="39"/>
      <c r="G621" s="39"/>
      <c r="H621" s="39"/>
      <c r="I621" s="39"/>
      <c r="J621" s="39"/>
      <c r="K621" s="39"/>
      <c r="L621" s="39"/>
      <c r="M621" s="39"/>
      <c r="N621" s="39"/>
    </row>
    <row r="622" spans="1:48" ht="12.75">
      <c r="A622" s="59" t="s">
        <v>819</v>
      </c>
      <c r="B622" s="59" t="s">
        <v>1200</v>
      </c>
      <c r="C622" s="59" t="s">
        <v>32</v>
      </c>
      <c r="D622" s="59" t="s">
        <v>143</v>
      </c>
      <c r="E622" s="60">
        <v>0.562</v>
      </c>
      <c r="F622" s="61"/>
      <c r="G622" s="61">
        <f>E622*AE622</f>
        <v>0</v>
      </c>
      <c r="H622" s="61">
        <f>I622-G622</f>
        <v>0</v>
      </c>
      <c r="I622" s="61">
        <f>E622*F622</f>
        <v>0</v>
      </c>
      <c r="J622" s="61">
        <v>0</v>
      </c>
      <c r="K622" s="61">
        <f>E622*J622</f>
        <v>0</v>
      </c>
      <c r="L622" s="62" t="s">
        <v>170</v>
      </c>
      <c r="M622" s="39"/>
      <c r="N622" s="39"/>
      <c r="P622" s="11">
        <f>IF(AG622="5",I622,0)</f>
        <v>0</v>
      </c>
      <c r="R622" s="11">
        <f>IF(AG622="1",G622,0)</f>
        <v>0</v>
      </c>
      <c r="S622" s="11">
        <f>IF(AG622="1",H622,0)</f>
        <v>0</v>
      </c>
      <c r="T622" s="11">
        <f>IF(AG622="7",G622,0)</f>
        <v>0</v>
      </c>
      <c r="U622" s="11">
        <f>IF(AG622="7",H622,0)</f>
        <v>0</v>
      </c>
      <c r="V622" s="11">
        <f>IF(AG622="2",G622,0)</f>
        <v>0</v>
      </c>
      <c r="W622" s="11">
        <f>IF(AG622="2",H622,0)</f>
        <v>0</v>
      </c>
      <c r="X622" s="11">
        <f>IF(AG622="0",I622,0)</f>
        <v>0</v>
      </c>
      <c r="Y622" s="6"/>
      <c r="Z622" s="4">
        <f>IF(AD622=0,I622,0)</f>
        <v>0</v>
      </c>
      <c r="AA622" s="4">
        <f>IF(AD622=15,I622,0)</f>
        <v>0</v>
      </c>
      <c r="AB622" s="4">
        <f>IF(AD622=21,I622,0)</f>
        <v>0</v>
      </c>
      <c r="AD622" s="11">
        <v>21</v>
      </c>
      <c r="AE622" s="11">
        <f>F622*0</f>
        <v>0</v>
      </c>
      <c r="AF622" s="11">
        <f>F622*(1-0)</f>
        <v>0</v>
      </c>
      <c r="AG622" s="7" t="s">
        <v>502</v>
      </c>
      <c r="AM622" s="11">
        <f>E622*AE622</f>
        <v>0</v>
      </c>
      <c r="AN622" s="11">
        <f>E622*AF622</f>
        <v>0</v>
      </c>
      <c r="AO622" s="12" t="s">
        <v>208</v>
      </c>
      <c r="AP622" s="12" t="s">
        <v>230</v>
      </c>
      <c r="AQ622" s="6" t="s">
        <v>234</v>
      </c>
      <c r="AS622" s="11">
        <f>AM622+AN622</f>
        <v>0</v>
      </c>
      <c r="AT622" s="11">
        <f>F622/(100-AU622)*100</f>
        <v>0</v>
      </c>
      <c r="AU622" s="11">
        <v>0</v>
      </c>
      <c r="AV622" s="11">
        <f>K622</f>
        <v>0</v>
      </c>
    </row>
    <row r="623" spans="1:37" ht="12.75">
      <c r="A623" s="66"/>
      <c r="B623" s="67" t="s">
        <v>1201</v>
      </c>
      <c r="C623" s="305" t="s">
        <v>33</v>
      </c>
      <c r="D623" s="306"/>
      <c r="E623" s="306"/>
      <c r="F623" s="306"/>
      <c r="G623" s="68">
        <f>SUM(G624:G631)</f>
        <v>0</v>
      </c>
      <c r="H623" s="68">
        <f>SUM(H624:H631)</f>
        <v>0</v>
      </c>
      <c r="I623" s="68">
        <f>G623+H623</f>
        <v>0</v>
      </c>
      <c r="J623" s="69"/>
      <c r="K623" s="68">
        <f>SUM(K624:K631)</f>
        <v>6.14036709</v>
      </c>
      <c r="L623" s="69"/>
      <c r="M623" s="39"/>
      <c r="N623" s="39"/>
      <c r="Y623" s="6"/>
      <c r="AI623" s="13">
        <f>SUM(Z624:Z631)</f>
        <v>0</v>
      </c>
      <c r="AJ623" s="13">
        <f>SUM(AA624:AA631)</f>
        <v>0</v>
      </c>
      <c r="AK623" s="13">
        <f>SUM(AB624:AB631)</f>
        <v>0</v>
      </c>
    </row>
    <row r="624" spans="1:48" ht="12.75">
      <c r="A624" s="59" t="s">
        <v>820</v>
      </c>
      <c r="B624" s="59" t="s">
        <v>1202</v>
      </c>
      <c r="C624" s="59" t="s">
        <v>34</v>
      </c>
      <c r="D624" s="59" t="s">
        <v>142</v>
      </c>
      <c r="E624" s="60">
        <v>86.229</v>
      </c>
      <c r="F624" s="61"/>
      <c r="G624" s="61">
        <f>E624*AE624</f>
        <v>0</v>
      </c>
      <c r="H624" s="61">
        <f>I624-G624</f>
        <v>0</v>
      </c>
      <c r="I624" s="61">
        <f>E624*F624</f>
        <v>0</v>
      </c>
      <c r="J624" s="61">
        <v>0.07121</v>
      </c>
      <c r="K624" s="61">
        <f>E624*J624</f>
        <v>6.14036709</v>
      </c>
      <c r="L624" s="62" t="s">
        <v>170</v>
      </c>
      <c r="M624" s="39"/>
      <c r="N624" s="39"/>
      <c r="P624" s="11">
        <f>IF(AG624="5",I624,0)</f>
        <v>0</v>
      </c>
      <c r="R624" s="11">
        <f>IF(AG624="1",G624,0)</f>
        <v>0</v>
      </c>
      <c r="S624" s="11">
        <f>IF(AG624="1",H624,0)</f>
        <v>0</v>
      </c>
      <c r="T624" s="11">
        <f>IF(AG624="7",G624,0)</f>
        <v>0</v>
      </c>
      <c r="U624" s="11">
        <f>IF(AG624="7",H624,0)</f>
        <v>0</v>
      </c>
      <c r="V624" s="11">
        <f>IF(AG624="2",G624,0)</f>
        <v>0</v>
      </c>
      <c r="W624" s="11">
        <f>IF(AG624="2",H624,0)</f>
        <v>0</v>
      </c>
      <c r="X624" s="11">
        <f>IF(AG624="0",I624,0)</f>
        <v>0</v>
      </c>
      <c r="Y624" s="6"/>
      <c r="Z624" s="4">
        <f>IF(AD624=0,I624,0)</f>
        <v>0</v>
      </c>
      <c r="AA624" s="4">
        <f>IF(AD624=15,I624,0)</f>
        <v>0</v>
      </c>
      <c r="AB624" s="4">
        <f>IF(AD624=21,I624,0)</f>
        <v>0</v>
      </c>
      <c r="AD624" s="11">
        <v>21</v>
      </c>
      <c r="AE624" s="11">
        <f>F624*0.469334551197884</f>
        <v>0</v>
      </c>
      <c r="AF624" s="11">
        <f>F624*(1-0.469334551197884)</f>
        <v>0</v>
      </c>
      <c r="AG624" s="7" t="s">
        <v>504</v>
      </c>
      <c r="AM624" s="11">
        <f>E624*AE624</f>
        <v>0</v>
      </c>
      <c r="AN624" s="11">
        <f>E624*AF624</f>
        <v>0</v>
      </c>
      <c r="AO624" s="12" t="s">
        <v>209</v>
      </c>
      <c r="AP624" s="12" t="s">
        <v>231</v>
      </c>
      <c r="AQ624" s="6" t="s">
        <v>234</v>
      </c>
      <c r="AS624" s="11">
        <f>AM624+AN624</f>
        <v>0</v>
      </c>
      <c r="AT624" s="11">
        <f>F624/(100-AU624)*100</f>
        <v>0</v>
      </c>
      <c r="AU624" s="11">
        <v>0</v>
      </c>
      <c r="AV624" s="11">
        <f>K624</f>
        <v>6.14036709</v>
      </c>
    </row>
    <row r="625" spans="1:14" ht="12.75">
      <c r="A625" s="39"/>
      <c r="B625" s="39"/>
      <c r="C625" s="63" t="s">
        <v>35</v>
      </c>
      <c r="D625" s="39"/>
      <c r="E625" s="64">
        <v>67.786</v>
      </c>
      <c r="F625" s="39"/>
      <c r="G625" s="39"/>
      <c r="H625" s="39"/>
      <c r="I625" s="39"/>
      <c r="J625" s="39"/>
      <c r="K625" s="39"/>
      <c r="L625" s="39"/>
      <c r="M625" s="39"/>
      <c r="N625" s="39"/>
    </row>
    <row r="626" spans="1:14" ht="12.75">
      <c r="A626" s="39"/>
      <c r="B626" s="39"/>
      <c r="C626" s="63" t="s">
        <v>36</v>
      </c>
      <c r="D626" s="39"/>
      <c r="E626" s="64">
        <v>16.523</v>
      </c>
      <c r="F626" s="39"/>
      <c r="G626" s="39"/>
      <c r="H626" s="39"/>
      <c r="I626" s="39"/>
      <c r="J626" s="39"/>
      <c r="K626" s="39"/>
      <c r="L626" s="39"/>
      <c r="M626" s="39"/>
      <c r="N626" s="39"/>
    </row>
    <row r="627" spans="1:14" ht="12.75">
      <c r="A627" s="39"/>
      <c r="B627" s="39"/>
      <c r="C627" s="63" t="s">
        <v>37</v>
      </c>
      <c r="D627" s="39"/>
      <c r="E627" s="64">
        <v>1.92</v>
      </c>
      <c r="F627" s="39"/>
      <c r="G627" s="39"/>
      <c r="H627" s="39"/>
      <c r="I627" s="39"/>
      <c r="J627" s="39"/>
      <c r="K627" s="39"/>
      <c r="L627" s="39"/>
      <c r="M627" s="39"/>
      <c r="N627" s="39"/>
    </row>
    <row r="628" spans="1:48" ht="12.75">
      <c r="A628" s="59" t="s">
        <v>821</v>
      </c>
      <c r="B628" s="59" t="s">
        <v>1203</v>
      </c>
      <c r="C628" s="59" t="s">
        <v>38</v>
      </c>
      <c r="D628" s="59" t="s">
        <v>146</v>
      </c>
      <c r="E628" s="60">
        <v>155.8</v>
      </c>
      <c r="F628" s="61"/>
      <c r="G628" s="61">
        <f>E628*AE628</f>
        <v>0</v>
      </c>
      <c r="H628" s="61">
        <f>I628-G628</f>
        <v>0</v>
      </c>
      <c r="I628" s="61">
        <f>E628*F628</f>
        <v>0</v>
      </c>
      <c r="J628" s="61">
        <v>0</v>
      </c>
      <c r="K628" s="61">
        <f>E628*J628</f>
        <v>0</v>
      </c>
      <c r="L628" s="62" t="s">
        <v>170</v>
      </c>
      <c r="M628" s="39"/>
      <c r="N628" s="39"/>
      <c r="P628" s="11">
        <f>IF(AG628="5",I628,0)</f>
        <v>0</v>
      </c>
      <c r="R628" s="11">
        <f>IF(AG628="1",G628,0)</f>
        <v>0</v>
      </c>
      <c r="S628" s="11">
        <f>IF(AG628="1",H628,0)</f>
        <v>0</v>
      </c>
      <c r="T628" s="11">
        <f>IF(AG628="7",G628,0)</f>
        <v>0</v>
      </c>
      <c r="U628" s="11">
        <f>IF(AG628="7",H628,0)</f>
        <v>0</v>
      </c>
      <c r="V628" s="11">
        <f>IF(AG628="2",G628,0)</f>
        <v>0</v>
      </c>
      <c r="W628" s="11">
        <f>IF(AG628="2",H628,0)</f>
        <v>0</v>
      </c>
      <c r="X628" s="11">
        <f>IF(AG628="0",I628,0)</f>
        <v>0</v>
      </c>
      <c r="Y628" s="6"/>
      <c r="Z628" s="4">
        <f>IF(AD628=0,I628,0)</f>
        <v>0</v>
      </c>
      <c r="AA628" s="4">
        <f>IF(AD628=15,I628,0)</f>
        <v>0</v>
      </c>
      <c r="AB628" s="4">
        <f>IF(AD628=21,I628,0)</f>
        <v>0</v>
      </c>
      <c r="AD628" s="11">
        <v>21</v>
      </c>
      <c r="AE628" s="11">
        <f>F628*0.412874251497006</f>
        <v>0</v>
      </c>
      <c r="AF628" s="11">
        <f>F628*(1-0.412874251497006)</f>
        <v>0</v>
      </c>
      <c r="AG628" s="7" t="s">
        <v>504</v>
      </c>
      <c r="AM628" s="11">
        <f>E628*AE628</f>
        <v>0</v>
      </c>
      <c r="AN628" s="11">
        <f>E628*AF628</f>
        <v>0</v>
      </c>
      <c r="AO628" s="12" t="s">
        <v>209</v>
      </c>
      <c r="AP628" s="12" t="s">
        <v>231</v>
      </c>
      <c r="AQ628" s="6" t="s">
        <v>234</v>
      </c>
      <c r="AS628" s="11">
        <f>AM628+AN628</f>
        <v>0</v>
      </c>
      <c r="AT628" s="11">
        <f>F628/(100-AU628)*100</f>
        <v>0</v>
      </c>
      <c r="AU628" s="11">
        <v>0</v>
      </c>
      <c r="AV628" s="11">
        <f>K628</f>
        <v>0</v>
      </c>
    </row>
    <row r="629" spans="1:14" ht="12.75">
      <c r="A629" s="39"/>
      <c r="B629" s="39"/>
      <c r="C629" s="63" t="s">
        <v>39</v>
      </c>
      <c r="D629" s="39"/>
      <c r="E629" s="64">
        <v>121</v>
      </c>
      <c r="F629" s="39"/>
      <c r="G629" s="39"/>
      <c r="H629" s="39"/>
      <c r="I629" s="39"/>
      <c r="J629" s="39"/>
      <c r="K629" s="39"/>
      <c r="L629" s="39"/>
      <c r="M629" s="39"/>
      <c r="N629" s="39"/>
    </row>
    <row r="630" spans="1:14" ht="12.75">
      <c r="A630" s="39"/>
      <c r="B630" s="39"/>
      <c r="C630" s="63" t="s">
        <v>40</v>
      </c>
      <c r="D630" s="39"/>
      <c r="E630" s="64">
        <v>34.8</v>
      </c>
      <c r="F630" s="39"/>
      <c r="G630" s="39"/>
      <c r="H630" s="39"/>
      <c r="I630" s="39"/>
      <c r="J630" s="39"/>
      <c r="K630" s="39"/>
      <c r="L630" s="39"/>
      <c r="M630" s="39"/>
      <c r="N630" s="39"/>
    </row>
    <row r="631" spans="1:48" ht="12.75">
      <c r="A631" s="59" t="s">
        <v>822</v>
      </c>
      <c r="B631" s="59" t="s">
        <v>1204</v>
      </c>
      <c r="C631" s="59" t="s">
        <v>41</v>
      </c>
      <c r="D631" s="59" t="s">
        <v>143</v>
      </c>
      <c r="E631" s="60">
        <v>6.14</v>
      </c>
      <c r="F631" s="61"/>
      <c r="G631" s="61">
        <f>E631*AE631</f>
        <v>0</v>
      </c>
      <c r="H631" s="61">
        <f>I631-G631</f>
        <v>0</v>
      </c>
      <c r="I631" s="61">
        <f>E631*F631</f>
        <v>0</v>
      </c>
      <c r="J631" s="61">
        <v>0</v>
      </c>
      <c r="K631" s="61">
        <f>E631*J631</f>
        <v>0</v>
      </c>
      <c r="L631" s="62" t="s">
        <v>170</v>
      </c>
      <c r="M631" s="39"/>
      <c r="N631" s="39"/>
      <c r="P631" s="11">
        <f>IF(AG631="5",I631,0)</f>
        <v>0</v>
      </c>
      <c r="R631" s="11">
        <f>IF(AG631="1",G631,0)</f>
        <v>0</v>
      </c>
      <c r="S631" s="11">
        <f>IF(AG631="1",H631,0)</f>
        <v>0</v>
      </c>
      <c r="T631" s="11">
        <f>IF(AG631="7",G631,0)</f>
        <v>0</v>
      </c>
      <c r="U631" s="11">
        <f>IF(AG631="7",H631,0)</f>
        <v>0</v>
      </c>
      <c r="V631" s="11">
        <f>IF(AG631="2",G631,0)</f>
        <v>0</v>
      </c>
      <c r="W631" s="11">
        <f>IF(AG631="2",H631,0)</f>
        <v>0</v>
      </c>
      <c r="X631" s="11">
        <f>IF(AG631="0",I631,0)</f>
        <v>0</v>
      </c>
      <c r="Y631" s="6"/>
      <c r="Z631" s="4">
        <f>IF(AD631=0,I631,0)</f>
        <v>0</v>
      </c>
      <c r="AA631" s="4">
        <f>IF(AD631=15,I631,0)</f>
        <v>0</v>
      </c>
      <c r="AB631" s="4">
        <f>IF(AD631=21,I631,0)</f>
        <v>0</v>
      </c>
      <c r="AD631" s="11">
        <v>21</v>
      </c>
      <c r="AE631" s="11">
        <f>F631*0</f>
        <v>0</v>
      </c>
      <c r="AF631" s="11">
        <f>F631*(1-0)</f>
        <v>0</v>
      </c>
      <c r="AG631" s="7" t="s">
        <v>502</v>
      </c>
      <c r="AM631" s="11">
        <f>E631*AE631</f>
        <v>0</v>
      </c>
      <c r="AN631" s="11">
        <f>E631*AF631</f>
        <v>0</v>
      </c>
      <c r="AO631" s="12" t="s">
        <v>209</v>
      </c>
      <c r="AP631" s="12" t="s">
        <v>231</v>
      </c>
      <c r="AQ631" s="6" t="s">
        <v>234</v>
      </c>
      <c r="AS631" s="11">
        <f>AM631+AN631</f>
        <v>0</v>
      </c>
      <c r="AT631" s="11">
        <f>F631/(100-AU631)*100</f>
        <v>0</v>
      </c>
      <c r="AU631" s="11">
        <v>0</v>
      </c>
      <c r="AV631" s="11">
        <f>K631</f>
        <v>0</v>
      </c>
    </row>
    <row r="632" spans="1:37" ht="12.75">
      <c r="A632" s="66"/>
      <c r="B632" s="67" t="s">
        <v>1205</v>
      </c>
      <c r="C632" s="305" t="s">
        <v>42</v>
      </c>
      <c r="D632" s="306"/>
      <c r="E632" s="306"/>
      <c r="F632" s="306"/>
      <c r="G632" s="68">
        <f>SUM(G633:G641)</f>
        <v>0</v>
      </c>
      <c r="H632" s="68">
        <f>SUM(H633:H641)</f>
        <v>0</v>
      </c>
      <c r="I632" s="68">
        <f>G632+H632</f>
        <v>0</v>
      </c>
      <c r="J632" s="69"/>
      <c r="K632" s="68">
        <f>SUM(K633:K641)</f>
        <v>1.72159189</v>
      </c>
      <c r="L632" s="69"/>
      <c r="M632" s="39"/>
      <c r="N632" s="39"/>
      <c r="Y632" s="6"/>
      <c r="AI632" s="13">
        <f>SUM(Z633:Z641)</f>
        <v>0</v>
      </c>
      <c r="AJ632" s="13">
        <f>SUM(AA633:AA641)</f>
        <v>0</v>
      </c>
      <c r="AK632" s="13">
        <f>SUM(AB633:AB641)</f>
        <v>0</v>
      </c>
    </row>
    <row r="633" spans="1:48" ht="12.75">
      <c r="A633" s="59" t="s">
        <v>823</v>
      </c>
      <c r="B633" s="59" t="s">
        <v>1206</v>
      </c>
      <c r="C633" s="59" t="s">
        <v>43</v>
      </c>
      <c r="D633" s="59" t="s">
        <v>142</v>
      </c>
      <c r="E633" s="60">
        <v>150.217</v>
      </c>
      <c r="F633" s="61"/>
      <c r="G633" s="61">
        <f>E633*AE633</f>
        <v>0</v>
      </c>
      <c r="H633" s="61">
        <f>I633-G633</f>
        <v>0</v>
      </c>
      <c r="I633" s="61">
        <f>E633*F633</f>
        <v>0</v>
      </c>
      <c r="J633" s="61">
        <v>1E-05</v>
      </c>
      <c r="K633" s="61">
        <f>E633*J633</f>
        <v>0.0015021700000000002</v>
      </c>
      <c r="L633" s="62" t="s">
        <v>170</v>
      </c>
      <c r="M633" s="39"/>
      <c r="N633" s="39"/>
      <c r="P633" s="11">
        <f>IF(AG633="5",I633,0)</f>
        <v>0</v>
      </c>
      <c r="R633" s="11">
        <f>IF(AG633="1",G633,0)</f>
        <v>0</v>
      </c>
      <c r="S633" s="11">
        <f>IF(AG633="1",H633,0)</f>
        <v>0</v>
      </c>
      <c r="T633" s="11">
        <f>IF(AG633="7",G633,0)</f>
        <v>0</v>
      </c>
      <c r="U633" s="11">
        <f>IF(AG633="7",H633,0)</f>
        <v>0</v>
      </c>
      <c r="V633" s="11">
        <f>IF(AG633="2",G633,0)</f>
        <v>0</v>
      </c>
      <c r="W633" s="11">
        <f>IF(AG633="2",H633,0)</f>
        <v>0</v>
      </c>
      <c r="X633" s="11">
        <f>IF(AG633="0",I633,0)</f>
        <v>0</v>
      </c>
      <c r="Y633" s="6"/>
      <c r="Z633" s="4">
        <f>IF(AD633=0,I633,0)</f>
        <v>0</v>
      </c>
      <c r="AA633" s="4">
        <f>IF(AD633=15,I633,0)</f>
        <v>0</v>
      </c>
      <c r="AB633" s="4">
        <f>IF(AD633=21,I633,0)</f>
        <v>0</v>
      </c>
      <c r="AD633" s="11">
        <v>21</v>
      </c>
      <c r="AE633" s="11">
        <f>F633*0.0829383886255924</f>
        <v>0</v>
      </c>
      <c r="AF633" s="11">
        <f>F633*(1-0.0829383886255924)</f>
        <v>0</v>
      </c>
      <c r="AG633" s="7" t="s">
        <v>504</v>
      </c>
      <c r="AM633" s="11">
        <f>E633*AE633</f>
        <v>0</v>
      </c>
      <c r="AN633" s="11">
        <f>E633*AF633</f>
        <v>0</v>
      </c>
      <c r="AO633" s="12" t="s">
        <v>210</v>
      </c>
      <c r="AP633" s="12" t="s">
        <v>231</v>
      </c>
      <c r="AQ633" s="6" t="s">
        <v>234</v>
      </c>
      <c r="AS633" s="11">
        <f>AM633+AN633</f>
        <v>0</v>
      </c>
      <c r="AT633" s="11">
        <f>F633/(100-AU633)*100</f>
        <v>0</v>
      </c>
      <c r="AU633" s="11">
        <v>0</v>
      </c>
      <c r="AV633" s="11">
        <f>K633</f>
        <v>0.0015021700000000002</v>
      </c>
    </row>
    <row r="634" spans="1:14" ht="12.75">
      <c r="A634" s="39"/>
      <c r="B634" s="39"/>
      <c r="C634" s="63" t="s">
        <v>44</v>
      </c>
      <c r="D634" s="39"/>
      <c r="E634" s="64">
        <v>150.217</v>
      </c>
      <c r="F634" s="39"/>
      <c r="G634" s="39"/>
      <c r="H634" s="39"/>
      <c r="I634" s="39"/>
      <c r="J634" s="39"/>
      <c r="K634" s="39"/>
      <c r="L634" s="39"/>
      <c r="M634" s="39"/>
      <c r="N634" s="39"/>
    </row>
    <row r="635" spans="1:48" ht="12.75">
      <c r="A635" s="59" t="s">
        <v>824</v>
      </c>
      <c r="B635" s="59" t="s">
        <v>1207</v>
      </c>
      <c r="C635" s="59" t="s">
        <v>45</v>
      </c>
      <c r="D635" s="59" t="s">
        <v>142</v>
      </c>
      <c r="E635" s="60">
        <v>9438.534</v>
      </c>
      <c r="F635" s="61"/>
      <c r="G635" s="61">
        <f>E635*AE635</f>
        <v>0</v>
      </c>
      <c r="H635" s="61">
        <f>I635-G635</f>
        <v>0</v>
      </c>
      <c r="I635" s="61">
        <f>E635*F635</f>
        <v>0</v>
      </c>
      <c r="J635" s="61">
        <v>0.00017</v>
      </c>
      <c r="K635" s="61">
        <f>E635*J635</f>
        <v>1.60455078</v>
      </c>
      <c r="L635" s="62" t="s">
        <v>170</v>
      </c>
      <c r="M635" s="39"/>
      <c r="N635" s="39"/>
      <c r="P635" s="11">
        <f>IF(AG635="5",I635,0)</f>
        <v>0</v>
      </c>
      <c r="R635" s="11">
        <f>IF(AG635="1",G635,0)</f>
        <v>0</v>
      </c>
      <c r="S635" s="11">
        <f>IF(AG635="1",H635,0)</f>
        <v>0</v>
      </c>
      <c r="T635" s="11">
        <f>IF(AG635="7",G635,0)</f>
        <v>0</v>
      </c>
      <c r="U635" s="11">
        <f>IF(AG635="7",H635,0)</f>
        <v>0</v>
      </c>
      <c r="V635" s="11">
        <f>IF(AG635="2",G635,0)</f>
        <v>0</v>
      </c>
      <c r="W635" s="11">
        <f>IF(AG635="2",H635,0)</f>
        <v>0</v>
      </c>
      <c r="X635" s="11">
        <f>IF(AG635="0",I635,0)</f>
        <v>0</v>
      </c>
      <c r="Y635" s="6"/>
      <c r="Z635" s="4">
        <f>IF(AD635=0,I635,0)</f>
        <v>0</v>
      </c>
      <c r="AA635" s="4">
        <f>IF(AD635=15,I635,0)</f>
        <v>0</v>
      </c>
      <c r="AB635" s="4">
        <f>IF(AD635=21,I635,0)</f>
        <v>0</v>
      </c>
      <c r="AD635" s="11">
        <v>21</v>
      </c>
      <c r="AE635" s="11">
        <f>F635*0.174311926605505</f>
        <v>0</v>
      </c>
      <c r="AF635" s="11">
        <f>F635*(1-0.174311926605505)</f>
        <v>0</v>
      </c>
      <c r="AG635" s="7" t="s">
        <v>504</v>
      </c>
      <c r="AM635" s="11">
        <f>E635*AE635</f>
        <v>0</v>
      </c>
      <c r="AN635" s="11">
        <f>E635*AF635</f>
        <v>0</v>
      </c>
      <c r="AO635" s="12" t="s">
        <v>210</v>
      </c>
      <c r="AP635" s="12" t="s">
        <v>231</v>
      </c>
      <c r="AQ635" s="6" t="s">
        <v>234</v>
      </c>
      <c r="AS635" s="11">
        <f>AM635+AN635</f>
        <v>0</v>
      </c>
      <c r="AT635" s="11">
        <f>F635/(100-AU635)*100</f>
        <v>0</v>
      </c>
      <c r="AU635" s="11">
        <v>0</v>
      </c>
      <c r="AV635" s="11">
        <f>K635</f>
        <v>1.60455078</v>
      </c>
    </row>
    <row r="636" spans="1:14" ht="12.75">
      <c r="A636" s="39"/>
      <c r="B636" s="39"/>
      <c r="C636" s="63" t="s">
        <v>46</v>
      </c>
      <c r="D636" s="39"/>
      <c r="E636" s="64">
        <v>113.628</v>
      </c>
      <c r="F636" s="39"/>
      <c r="G636" s="39"/>
      <c r="H636" s="39"/>
      <c r="I636" s="39"/>
      <c r="J636" s="39"/>
      <c r="K636" s="39"/>
      <c r="L636" s="39"/>
      <c r="M636" s="39"/>
      <c r="N636" s="39"/>
    </row>
    <row r="637" spans="1:14" ht="12.75">
      <c r="A637" s="39"/>
      <c r="B637" s="39"/>
      <c r="C637" s="63" t="s">
        <v>47</v>
      </c>
      <c r="D637" s="39"/>
      <c r="E637" s="64">
        <v>44.906</v>
      </c>
      <c r="F637" s="39"/>
      <c r="G637" s="39"/>
      <c r="H637" s="39"/>
      <c r="I637" s="39"/>
      <c r="J637" s="39"/>
      <c r="K637" s="39"/>
      <c r="L637" s="39"/>
      <c r="M637" s="39"/>
      <c r="N637" s="39"/>
    </row>
    <row r="638" spans="1:14" ht="12.75">
      <c r="A638" s="39"/>
      <c r="B638" s="39"/>
      <c r="C638" s="63" t="s">
        <v>48</v>
      </c>
      <c r="D638" s="39"/>
      <c r="E638" s="64">
        <v>9280</v>
      </c>
      <c r="F638" s="39"/>
      <c r="G638" s="39"/>
      <c r="H638" s="39"/>
      <c r="I638" s="39"/>
      <c r="J638" s="39"/>
      <c r="K638" s="39"/>
      <c r="L638" s="39"/>
      <c r="M638" s="39"/>
      <c r="N638" s="39"/>
    </row>
    <row r="639" spans="1:48" ht="12.75">
      <c r="A639" s="59" t="s">
        <v>825</v>
      </c>
      <c r="B639" s="59" t="s">
        <v>1208</v>
      </c>
      <c r="C639" s="59" t="s">
        <v>49</v>
      </c>
      <c r="D639" s="59" t="s">
        <v>142</v>
      </c>
      <c r="E639" s="60">
        <v>70.862</v>
      </c>
      <c r="F639" s="61"/>
      <c r="G639" s="61">
        <f>E639*AE639</f>
        <v>0</v>
      </c>
      <c r="H639" s="61">
        <f>I639-G639</f>
        <v>0</v>
      </c>
      <c r="I639" s="61">
        <f>E639*F639</f>
        <v>0</v>
      </c>
      <c r="J639" s="61">
        <v>0.00037</v>
      </c>
      <c r="K639" s="61">
        <f>E639*J639</f>
        <v>0.026218939999999996</v>
      </c>
      <c r="L639" s="62" t="s">
        <v>170</v>
      </c>
      <c r="M639" s="39"/>
      <c r="N639" s="39"/>
      <c r="P639" s="11">
        <f>IF(AG639="5",I639,0)</f>
        <v>0</v>
      </c>
      <c r="R639" s="11">
        <f>IF(AG639="1",G639,0)</f>
        <v>0</v>
      </c>
      <c r="S639" s="11">
        <f>IF(AG639="1",H639,0)</f>
        <v>0</v>
      </c>
      <c r="T639" s="11">
        <f>IF(AG639="7",G639,0)</f>
        <v>0</v>
      </c>
      <c r="U639" s="11">
        <f>IF(AG639="7",H639,0)</f>
        <v>0</v>
      </c>
      <c r="V639" s="11">
        <f>IF(AG639="2",G639,0)</f>
        <v>0</v>
      </c>
      <c r="W639" s="11">
        <f>IF(AG639="2",H639,0)</f>
        <v>0</v>
      </c>
      <c r="X639" s="11">
        <f>IF(AG639="0",I639,0)</f>
        <v>0</v>
      </c>
      <c r="Y639" s="6"/>
      <c r="Z639" s="4">
        <f>IF(AD639=0,I639,0)</f>
        <v>0</v>
      </c>
      <c r="AA639" s="4">
        <f>IF(AD639=15,I639,0)</f>
        <v>0</v>
      </c>
      <c r="AB639" s="4">
        <f>IF(AD639=21,I639,0)</f>
        <v>0</v>
      </c>
      <c r="AD639" s="11">
        <v>21</v>
      </c>
      <c r="AE639" s="11">
        <f>F639*0.435338983050848</f>
        <v>0</v>
      </c>
      <c r="AF639" s="11">
        <f>F639*(1-0.435338983050848)</f>
        <v>0</v>
      </c>
      <c r="AG639" s="7" t="s">
        <v>504</v>
      </c>
      <c r="AM639" s="11">
        <f>E639*AE639</f>
        <v>0</v>
      </c>
      <c r="AN639" s="11">
        <f>E639*AF639</f>
        <v>0</v>
      </c>
      <c r="AO639" s="12" t="s">
        <v>210</v>
      </c>
      <c r="AP639" s="12" t="s">
        <v>231</v>
      </c>
      <c r="AQ639" s="6" t="s">
        <v>234</v>
      </c>
      <c r="AS639" s="11">
        <f>AM639+AN639</f>
        <v>0</v>
      </c>
      <c r="AT639" s="11">
        <f>F639/(100-AU639)*100</f>
        <v>0</v>
      </c>
      <c r="AU639" s="11">
        <v>0</v>
      </c>
      <c r="AV639" s="11">
        <f>K639</f>
        <v>0.026218939999999996</v>
      </c>
    </row>
    <row r="640" spans="1:14" ht="12.75">
      <c r="A640" s="39"/>
      <c r="B640" s="39"/>
      <c r="C640" s="63" t="s">
        <v>50</v>
      </c>
      <c r="D640" s="39"/>
      <c r="E640" s="64">
        <v>70.862</v>
      </c>
      <c r="F640" s="39"/>
      <c r="G640" s="39"/>
      <c r="H640" s="39"/>
      <c r="I640" s="39"/>
      <c r="J640" s="39"/>
      <c r="K640" s="39"/>
      <c r="L640" s="39"/>
      <c r="M640" s="39"/>
      <c r="N640" s="39"/>
    </row>
    <row r="641" spans="1:48" ht="12.75">
      <c r="A641" s="59" t="s">
        <v>826</v>
      </c>
      <c r="B641" s="59" t="s">
        <v>1209</v>
      </c>
      <c r="C641" s="59" t="s">
        <v>51</v>
      </c>
      <c r="D641" s="59" t="s">
        <v>142</v>
      </c>
      <c r="E641" s="60">
        <v>223.3</v>
      </c>
      <c r="F641" s="61"/>
      <c r="G641" s="61">
        <f>E641*AE641</f>
        <v>0</v>
      </c>
      <c r="H641" s="61">
        <f>I641-G641</f>
        <v>0</v>
      </c>
      <c r="I641" s="61">
        <f>E641*F641</f>
        <v>0</v>
      </c>
      <c r="J641" s="61">
        <v>0.0004</v>
      </c>
      <c r="K641" s="61">
        <f>E641*J641</f>
        <v>0.08932000000000001</v>
      </c>
      <c r="L641" s="62" t="s">
        <v>170</v>
      </c>
      <c r="M641" s="39"/>
      <c r="N641" s="39"/>
      <c r="P641" s="11">
        <f>IF(AG641="5",I641,0)</f>
        <v>0</v>
      </c>
      <c r="R641" s="11">
        <f>IF(AG641="1",G641,0)</f>
        <v>0</v>
      </c>
      <c r="S641" s="11">
        <f>IF(AG641="1",H641,0)</f>
        <v>0</v>
      </c>
      <c r="T641" s="11">
        <f>IF(AG641="7",G641,0)</f>
        <v>0</v>
      </c>
      <c r="U641" s="11">
        <f>IF(AG641="7",H641,0)</f>
        <v>0</v>
      </c>
      <c r="V641" s="11">
        <f>IF(AG641="2",G641,0)</f>
        <v>0</v>
      </c>
      <c r="W641" s="11">
        <f>IF(AG641="2",H641,0)</f>
        <v>0</v>
      </c>
      <c r="X641" s="11">
        <f>IF(AG641="0",I641,0)</f>
        <v>0</v>
      </c>
      <c r="Y641" s="6"/>
      <c r="Z641" s="4">
        <f>IF(AD641=0,I641,0)</f>
        <v>0</v>
      </c>
      <c r="AA641" s="4">
        <f>IF(AD641=15,I641,0)</f>
        <v>0</v>
      </c>
      <c r="AB641" s="4">
        <f>IF(AD641=21,I641,0)</f>
        <v>0</v>
      </c>
      <c r="AD641" s="11">
        <v>21</v>
      </c>
      <c r="AE641" s="11">
        <f>F641*0.297727601678969</f>
        <v>0</v>
      </c>
      <c r="AF641" s="11">
        <f>F641*(1-0.297727601678969)</f>
        <v>0</v>
      </c>
      <c r="AG641" s="7" t="s">
        <v>504</v>
      </c>
      <c r="AM641" s="11">
        <f>E641*AE641</f>
        <v>0</v>
      </c>
      <c r="AN641" s="11">
        <f>E641*AF641</f>
        <v>0</v>
      </c>
      <c r="AO641" s="12" t="s">
        <v>210</v>
      </c>
      <c r="AP641" s="12" t="s">
        <v>231</v>
      </c>
      <c r="AQ641" s="6" t="s">
        <v>234</v>
      </c>
      <c r="AS641" s="11">
        <f>AM641+AN641</f>
        <v>0</v>
      </c>
      <c r="AT641" s="11">
        <f>F641/(100-AU641)*100</f>
        <v>0</v>
      </c>
      <c r="AU641" s="11">
        <v>0</v>
      </c>
      <c r="AV641" s="11">
        <f>K641</f>
        <v>0.08932000000000001</v>
      </c>
    </row>
    <row r="642" spans="1:14" ht="12.75">
      <c r="A642" s="39"/>
      <c r="B642" s="39"/>
      <c r="C642" s="63" t="s">
        <v>1493</v>
      </c>
      <c r="D642" s="39"/>
      <c r="E642" s="64">
        <v>223.3</v>
      </c>
      <c r="F642" s="39"/>
      <c r="G642" s="39"/>
      <c r="H642" s="39"/>
      <c r="I642" s="39"/>
      <c r="J642" s="39"/>
      <c r="K642" s="39"/>
      <c r="L642" s="39"/>
      <c r="M642" s="39"/>
      <c r="N642" s="39"/>
    </row>
    <row r="643" spans="1:37" ht="12.75">
      <c r="A643" s="66"/>
      <c r="B643" s="67" t="s">
        <v>1210</v>
      </c>
      <c r="C643" s="305" t="s">
        <v>52</v>
      </c>
      <c r="D643" s="306"/>
      <c r="E643" s="306"/>
      <c r="F643" s="306"/>
      <c r="G643" s="68">
        <f>SUM(G644:G644)</f>
        <v>0</v>
      </c>
      <c r="H643" s="68">
        <f>SUM(H644:H644)</f>
        <v>0</v>
      </c>
      <c r="I643" s="68">
        <f>G643+H643</f>
        <v>0</v>
      </c>
      <c r="J643" s="69"/>
      <c r="K643" s="68">
        <f>SUM(K644:K644)</f>
        <v>0.5552391600000001</v>
      </c>
      <c r="L643" s="69"/>
      <c r="M643" s="39"/>
      <c r="N643" s="39"/>
      <c r="Y643" s="6"/>
      <c r="AI643" s="13">
        <f>SUM(Z644:Z644)</f>
        <v>0</v>
      </c>
      <c r="AJ643" s="13">
        <f>SUM(AA644:AA644)</f>
        <v>0</v>
      </c>
      <c r="AK643" s="13">
        <f>SUM(AB644:AB644)</f>
        <v>0</v>
      </c>
    </row>
    <row r="644" spans="1:48" ht="12.75">
      <c r="A644" s="59" t="s">
        <v>827</v>
      </c>
      <c r="B644" s="59" t="s">
        <v>1211</v>
      </c>
      <c r="C644" s="59" t="s">
        <v>53</v>
      </c>
      <c r="D644" s="59" t="s">
        <v>142</v>
      </c>
      <c r="E644" s="60">
        <v>881.332</v>
      </c>
      <c r="F644" s="61"/>
      <c r="G644" s="61">
        <f>E644*AE644</f>
        <v>0</v>
      </c>
      <c r="H644" s="61">
        <f>I644-G644</f>
        <v>0</v>
      </c>
      <c r="I644" s="61">
        <f>E644*F644</f>
        <v>0</v>
      </c>
      <c r="J644" s="61">
        <v>0.00063</v>
      </c>
      <c r="K644" s="61">
        <f>E644*J644</f>
        <v>0.5552391600000001</v>
      </c>
      <c r="L644" s="62" t="s">
        <v>170</v>
      </c>
      <c r="M644" s="39"/>
      <c r="N644" s="39"/>
      <c r="P644" s="11">
        <f>IF(AG644="5",I644,0)</f>
        <v>0</v>
      </c>
      <c r="R644" s="11">
        <f>IF(AG644="1",G644,0)</f>
        <v>0</v>
      </c>
      <c r="S644" s="11">
        <f>IF(AG644="1",H644,0)</f>
        <v>0</v>
      </c>
      <c r="T644" s="11">
        <f>IF(AG644="7",G644,0)</f>
        <v>0</v>
      </c>
      <c r="U644" s="11">
        <f>IF(AG644="7",H644,0)</f>
        <v>0</v>
      </c>
      <c r="V644" s="11">
        <f>IF(AG644="2",G644,0)</f>
        <v>0</v>
      </c>
      <c r="W644" s="11">
        <f>IF(AG644="2",H644,0)</f>
        <v>0</v>
      </c>
      <c r="X644" s="11">
        <f>IF(AG644="0",I644,0)</f>
        <v>0</v>
      </c>
      <c r="Y644" s="6"/>
      <c r="Z644" s="4">
        <f>IF(AD644=0,I644,0)</f>
        <v>0</v>
      </c>
      <c r="AA644" s="4">
        <f>IF(AD644=15,I644,0)</f>
        <v>0</v>
      </c>
      <c r="AB644" s="4">
        <f>IF(AD644=21,I644,0)</f>
        <v>0</v>
      </c>
      <c r="AD644" s="11">
        <v>21</v>
      </c>
      <c r="AE644" s="11">
        <f>F644*0.26728327324032</f>
        <v>0</v>
      </c>
      <c r="AF644" s="11">
        <f>F644*(1-0.26728327324032)</f>
        <v>0</v>
      </c>
      <c r="AG644" s="7" t="s">
        <v>504</v>
      </c>
      <c r="AM644" s="11">
        <f>E644*AE644</f>
        <v>0</v>
      </c>
      <c r="AN644" s="11">
        <f>E644*AF644</f>
        <v>0</v>
      </c>
      <c r="AO644" s="12" t="s">
        <v>211</v>
      </c>
      <c r="AP644" s="12" t="s">
        <v>231</v>
      </c>
      <c r="AQ644" s="6" t="s">
        <v>234</v>
      </c>
      <c r="AS644" s="11">
        <f>AM644+AN644</f>
        <v>0</v>
      </c>
      <c r="AT644" s="11">
        <f>F644/(100-AU644)*100</f>
        <v>0</v>
      </c>
      <c r="AU644" s="11">
        <v>0</v>
      </c>
      <c r="AV644" s="11">
        <f>K644</f>
        <v>0.5552391600000001</v>
      </c>
    </row>
    <row r="645" spans="1:14" ht="12.75">
      <c r="A645" s="39"/>
      <c r="B645" s="39"/>
      <c r="C645" s="63" t="s">
        <v>54</v>
      </c>
      <c r="D645" s="39"/>
      <c r="E645" s="64">
        <v>881.332</v>
      </c>
      <c r="F645" s="39"/>
      <c r="G645" s="39"/>
      <c r="H645" s="39"/>
      <c r="I645" s="39"/>
      <c r="J645" s="39"/>
      <c r="K645" s="39"/>
      <c r="L645" s="39"/>
      <c r="M645" s="39"/>
      <c r="N645" s="39"/>
    </row>
    <row r="646" spans="1:37" ht="12.75">
      <c r="A646" s="66"/>
      <c r="B646" s="67" t="s">
        <v>1212</v>
      </c>
      <c r="C646" s="305" t="s">
        <v>55</v>
      </c>
      <c r="D646" s="306"/>
      <c r="E646" s="306"/>
      <c r="F646" s="306"/>
      <c r="G646" s="68">
        <f>SUM(G647:G649)</f>
        <v>0</v>
      </c>
      <c r="H646" s="68">
        <f>SUM(H647:H649)</f>
        <v>0</v>
      </c>
      <c r="I646" s="68">
        <f>G646+H646</f>
        <v>0</v>
      </c>
      <c r="J646" s="69"/>
      <c r="K646" s="68">
        <f>SUM(K647:K649)</f>
        <v>0.0956224</v>
      </c>
      <c r="L646" s="69"/>
      <c r="M646" s="39"/>
      <c r="N646" s="39"/>
      <c r="Y646" s="6"/>
      <c r="AI646" s="13">
        <f>SUM(Z647:Z649)</f>
        <v>0</v>
      </c>
      <c r="AJ646" s="13">
        <f>SUM(AA647:AA649)</f>
        <v>0</v>
      </c>
      <c r="AK646" s="13">
        <f>SUM(AB647:AB649)</f>
        <v>0</v>
      </c>
    </row>
    <row r="647" spans="1:48" ht="12.75">
      <c r="A647" s="59" t="s">
        <v>828</v>
      </c>
      <c r="B647" s="59" t="s">
        <v>1213</v>
      </c>
      <c r="C647" s="59" t="s">
        <v>56</v>
      </c>
      <c r="D647" s="59" t="s">
        <v>142</v>
      </c>
      <c r="E647" s="60">
        <v>4.46</v>
      </c>
      <c r="F647" s="61"/>
      <c r="G647" s="61">
        <f>E647*AE647</f>
        <v>0</v>
      </c>
      <c r="H647" s="61">
        <f>I647-G647</f>
        <v>0</v>
      </c>
      <c r="I647" s="61">
        <f>E647*F647</f>
        <v>0</v>
      </c>
      <c r="J647" s="61">
        <v>0.02144</v>
      </c>
      <c r="K647" s="61">
        <f>E647*J647</f>
        <v>0.0956224</v>
      </c>
      <c r="L647" s="62" t="s">
        <v>170</v>
      </c>
      <c r="M647" s="39"/>
      <c r="N647" s="39"/>
      <c r="P647" s="11">
        <f>IF(AG647="5",I647,0)</f>
        <v>0</v>
      </c>
      <c r="R647" s="11">
        <f>IF(AG647="1",G647,0)</f>
        <v>0</v>
      </c>
      <c r="S647" s="11">
        <f>IF(AG647="1",H647,0)</f>
        <v>0</v>
      </c>
      <c r="T647" s="11">
        <f>IF(AG647="7",G647,0)</f>
        <v>0</v>
      </c>
      <c r="U647" s="11">
        <f>IF(AG647="7",H647,0)</f>
        <v>0</v>
      </c>
      <c r="V647" s="11">
        <f>IF(AG647="2",G647,0)</f>
        <v>0</v>
      </c>
      <c r="W647" s="11">
        <f>IF(AG647="2",H647,0)</f>
        <v>0</v>
      </c>
      <c r="X647" s="11">
        <f>IF(AG647="0",I647,0)</f>
        <v>0</v>
      </c>
      <c r="Y647" s="6"/>
      <c r="Z647" s="4">
        <f>IF(AD647=0,I647,0)</f>
        <v>0</v>
      </c>
      <c r="AA647" s="4">
        <f>IF(AD647=15,I647,0)</f>
        <v>0</v>
      </c>
      <c r="AB647" s="4">
        <f>IF(AD647=21,I647,0)</f>
        <v>0</v>
      </c>
      <c r="AD647" s="11">
        <v>21</v>
      </c>
      <c r="AE647" s="11">
        <f>F647*0.797765700483092</f>
        <v>0</v>
      </c>
      <c r="AF647" s="11">
        <f>F647*(1-0.797765700483092)</f>
        <v>0</v>
      </c>
      <c r="AG647" s="7" t="s">
        <v>504</v>
      </c>
      <c r="AM647" s="11">
        <f>E647*AE647</f>
        <v>0</v>
      </c>
      <c r="AN647" s="11">
        <f>E647*AF647</f>
        <v>0</v>
      </c>
      <c r="AO647" s="12" t="s">
        <v>212</v>
      </c>
      <c r="AP647" s="12" t="s">
        <v>231</v>
      </c>
      <c r="AQ647" s="6" t="s">
        <v>234</v>
      </c>
      <c r="AS647" s="11">
        <f>AM647+AN647</f>
        <v>0</v>
      </c>
      <c r="AT647" s="11">
        <f>F647/(100-AU647)*100</f>
        <v>0</v>
      </c>
      <c r="AU647" s="11">
        <v>0</v>
      </c>
      <c r="AV647" s="11">
        <f>K647</f>
        <v>0.0956224</v>
      </c>
    </row>
    <row r="648" spans="1:14" ht="12.75">
      <c r="A648" s="39"/>
      <c r="B648" s="39"/>
      <c r="C648" s="63" t="s">
        <v>57</v>
      </c>
      <c r="D648" s="39"/>
      <c r="E648" s="64">
        <v>4.46</v>
      </c>
      <c r="F648" s="39"/>
      <c r="G648" s="39"/>
      <c r="H648" s="39"/>
      <c r="I648" s="39"/>
      <c r="J648" s="39"/>
      <c r="K648" s="39"/>
      <c r="L648" s="39"/>
      <c r="M648" s="39"/>
      <c r="N648" s="39"/>
    </row>
    <row r="649" spans="1:48" ht="12.75">
      <c r="A649" s="59" t="s">
        <v>829</v>
      </c>
      <c r="B649" s="59" t="s">
        <v>1214</v>
      </c>
      <c r="C649" s="59" t="s">
        <v>58</v>
      </c>
      <c r="D649" s="59" t="s">
        <v>143</v>
      </c>
      <c r="E649" s="60">
        <v>0.096</v>
      </c>
      <c r="F649" s="61"/>
      <c r="G649" s="61">
        <f>E649*AE649</f>
        <v>0</v>
      </c>
      <c r="H649" s="61">
        <f>I649-G649</f>
        <v>0</v>
      </c>
      <c r="I649" s="61">
        <f>E649*F649</f>
        <v>0</v>
      </c>
      <c r="J649" s="61">
        <v>0</v>
      </c>
      <c r="K649" s="61">
        <f>E649*J649</f>
        <v>0</v>
      </c>
      <c r="L649" s="62" t="s">
        <v>170</v>
      </c>
      <c r="M649" s="39"/>
      <c r="N649" s="39"/>
      <c r="P649" s="11">
        <f>IF(AG649="5",I649,0)</f>
        <v>0</v>
      </c>
      <c r="R649" s="11">
        <f>IF(AG649="1",G649,0)</f>
        <v>0</v>
      </c>
      <c r="S649" s="11">
        <f>IF(AG649="1",H649,0)</f>
        <v>0</v>
      </c>
      <c r="T649" s="11">
        <f>IF(AG649="7",G649,0)</f>
        <v>0</v>
      </c>
      <c r="U649" s="11">
        <f>IF(AG649="7",H649,0)</f>
        <v>0</v>
      </c>
      <c r="V649" s="11">
        <f>IF(AG649="2",G649,0)</f>
        <v>0</v>
      </c>
      <c r="W649" s="11">
        <f>IF(AG649="2",H649,0)</f>
        <v>0</v>
      </c>
      <c r="X649" s="11">
        <f>IF(AG649="0",I649,0)</f>
        <v>0</v>
      </c>
      <c r="Y649" s="6"/>
      <c r="Z649" s="4">
        <f>IF(AD649=0,I649,0)</f>
        <v>0</v>
      </c>
      <c r="AA649" s="4">
        <f>IF(AD649=15,I649,0)</f>
        <v>0</v>
      </c>
      <c r="AB649" s="4">
        <f>IF(AD649=21,I649,0)</f>
        <v>0</v>
      </c>
      <c r="AD649" s="11">
        <v>21</v>
      </c>
      <c r="AE649" s="11">
        <f>F649*0</f>
        <v>0</v>
      </c>
      <c r="AF649" s="11">
        <f>F649*(1-0)</f>
        <v>0</v>
      </c>
      <c r="AG649" s="7" t="s">
        <v>502</v>
      </c>
      <c r="AM649" s="11">
        <f>E649*AE649</f>
        <v>0</v>
      </c>
      <c r="AN649" s="11">
        <f>E649*AF649</f>
        <v>0</v>
      </c>
      <c r="AO649" s="12" t="s">
        <v>212</v>
      </c>
      <c r="AP649" s="12" t="s">
        <v>231</v>
      </c>
      <c r="AQ649" s="6" t="s">
        <v>234</v>
      </c>
      <c r="AS649" s="11">
        <f>AM649+AN649</f>
        <v>0</v>
      </c>
      <c r="AT649" s="11">
        <f>F649/(100-AU649)*100</f>
        <v>0</v>
      </c>
      <c r="AU649" s="11">
        <v>0</v>
      </c>
      <c r="AV649" s="11">
        <f>K649</f>
        <v>0</v>
      </c>
    </row>
    <row r="650" spans="1:37" ht="12.75">
      <c r="A650" s="66"/>
      <c r="B650" s="67" t="s">
        <v>586</v>
      </c>
      <c r="C650" s="305" t="s">
        <v>59</v>
      </c>
      <c r="D650" s="306"/>
      <c r="E650" s="306"/>
      <c r="F650" s="306"/>
      <c r="G650" s="68">
        <f>SUM(G651:G653)</f>
        <v>0</v>
      </c>
      <c r="H650" s="68">
        <f>SUM(H651:H653)</f>
        <v>0</v>
      </c>
      <c r="I650" s="68">
        <f>G650+H650</f>
        <v>0</v>
      </c>
      <c r="J650" s="69"/>
      <c r="K650" s="68">
        <f>SUM(K651:K653)</f>
        <v>6.60331272</v>
      </c>
      <c r="L650" s="69"/>
      <c r="M650" s="39"/>
      <c r="N650" s="39"/>
      <c r="Y650" s="6"/>
      <c r="AI650" s="13">
        <f>SUM(Z651:Z653)</f>
        <v>0</v>
      </c>
      <c r="AJ650" s="13">
        <f>SUM(AA651:AA653)</f>
        <v>0</v>
      </c>
      <c r="AK650" s="13">
        <f>SUM(AB651:AB653)</f>
        <v>0</v>
      </c>
    </row>
    <row r="651" spans="1:48" ht="12.75">
      <c r="A651" s="59" t="s">
        <v>830</v>
      </c>
      <c r="B651" s="59" t="s">
        <v>1215</v>
      </c>
      <c r="C651" s="59" t="s">
        <v>60</v>
      </c>
      <c r="D651" s="59" t="s">
        <v>144</v>
      </c>
      <c r="E651" s="60">
        <v>1</v>
      </c>
      <c r="F651" s="61"/>
      <c r="G651" s="61">
        <f>E651*AE651</f>
        <v>0</v>
      </c>
      <c r="H651" s="61">
        <f>I651-G651</f>
        <v>0</v>
      </c>
      <c r="I651" s="61">
        <f>E651*F651</f>
        <v>0</v>
      </c>
      <c r="J651" s="61">
        <v>5.66633</v>
      </c>
      <c r="K651" s="61">
        <f>E651*J651</f>
        <v>5.66633</v>
      </c>
      <c r="L651" s="62" t="s">
        <v>170</v>
      </c>
      <c r="M651" s="39"/>
      <c r="N651" s="39"/>
      <c r="P651" s="11">
        <f>IF(AG651="5",I651,0)</f>
        <v>0</v>
      </c>
      <c r="R651" s="11">
        <f>IF(AG651="1",G651,0)</f>
        <v>0</v>
      </c>
      <c r="S651" s="11">
        <f>IF(AG651="1",H651,0)</f>
        <v>0</v>
      </c>
      <c r="T651" s="11">
        <f>IF(AG651="7",G651,0)</f>
        <v>0</v>
      </c>
      <c r="U651" s="11">
        <f>IF(AG651="7",H651,0)</f>
        <v>0</v>
      </c>
      <c r="V651" s="11">
        <f>IF(AG651="2",G651,0)</f>
        <v>0</v>
      </c>
      <c r="W651" s="11">
        <f>IF(AG651="2",H651,0)</f>
        <v>0</v>
      </c>
      <c r="X651" s="11">
        <f>IF(AG651="0",I651,0)</f>
        <v>0</v>
      </c>
      <c r="Y651" s="6"/>
      <c r="Z651" s="4">
        <f>IF(AD651=0,I651,0)</f>
        <v>0</v>
      </c>
      <c r="AA651" s="4">
        <f>IF(AD651=15,I651,0)</f>
        <v>0</v>
      </c>
      <c r="AB651" s="4">
        <f>IF(AD651=21,I651,0)</f>
        <v>0</v>
      </c>
      <c r="AD651" s="11">
        <v>21</v>
      </c>
      <c r="AE651" s="11">
        <f>F651*0.604549677383816</f>
        <v>0</v>
      </c>
      <c r="AF651" s="11">
        <f>F651*(1-0.604549677383816)</f>
        <v>0</v>
      </c>
      <c r="AG651" s="7" t="s">
        <v>498</v>
      </c>
      <c r="AM651" s="11">
        <f>E651*AE651</f>
        <v>0</v>
      </c>
      <c r="AN651" s="11">
        <f>E651*AF651</f>
        <v>0</v>
      </c>
      <c r="AO651" s="12" t="s">
        <v>213</v>
      </c>
      <c r="AP651" s="12" t="s">
        <v>232</v>
      </c>
      <c r="AQ651" s="6" t="s">
        <v>234</v>
      </c>
      <c r="AS651" s="11">
        <f>AM651+AN651</f>
        <v>0</v>
      </c>
      <c r="AT651" s="11">
        <f>F651/(100-AU651)*100</f>
        <v>0</v>
      </c>
      <c r="AU651" s="11">
        <v>0</v>
      </c>
      <c r="AV651" s="11">
        <f>K651</f>
        <v>5.66633</v>
      </c>
    </row>
    <row r="652" spans="1:14" ht="12.75">
      <c r="A652" s="39"/>
      <c r="B652" s="39"/>
      <c r="C652" s="63" t="s">
        <v>498</v>
      </c>
      <c r="D652" s="39"/>
      <c r="E652" s="64">
        <v>1</v>
      </c>
      <c r="F652" s="39"/>
      <c r="G652" s="39"/>
      <c r="H652" s="39"/>
      <c r="I652" s="39"/>
      <c r="J652" s="39"/>
      <c r="K652" s="39"/>
      <c r="L652" s="39"/>
      <c r="M652" s="39"/>
      <c r="N652" s="39"/>
    </row>
    <row r="653" spans="1:48" ht="12.75">
      <c r="A653" s="59" t="s">
        <v>831</v>
      </c>
      <c r="B653" s="59" t="s">
        <v>1216</v>
      </c>
      <c r="C653" s="59" t="s">
        <v>61</v>
      </c>
      <c r="D653" s="59" t="s">
        <v>141</v>
      </c>
      <c r="E653" s="60">
        <v>0.608</v>
      </c>
      <c r="F653" s="61"/>
      <c r="G653" s="61">
        <f>E653*AE653</f>
        <v>0</v>
      </c>
      <c r="H653" s="61">
        <f>I653-G653</f>
        <v>0</v>
      </c>
      <c r="I653" s="61">
        <f>E653*F653</f>
        <v>0</v>
      </c>
      <c r="J653" s="61">
        <v>1.54109</v>
      </c>
      <c r="K653" s="61">
        <f>E653*J653</f>
        <v>0.93698272</v>
      </c>
      <c r="L653" s="62" t="s">
        <v>170</v>
      </c>
      <c r="M653" s="39"/>
      <c r="N653" s="39"/>
      <c r="P653" s="11">
        <f>IF(AG653="5",I653,0)</f>
        <v>0</v>
      </c>
      <c r="R653" s="11">
        <f>IF(AG653="1",G653,0)</f>
        <v>0</v>
      </c>
      <c r="S653" s="11">
        <f>IF(AG653="1",H653,0)</f>
        <v>0</v>
      </c>
      <c r="T653" s="11">
        <f>IF(AG653="7",G653,0)</f>
        <v>0</v>
      </c>
      <c r="U653" s="11">
        <f>IF(AG653="7",H653,0)</f>
        <v>0</v>
      </c>
      <c r="V653" s="11">
        <f>IF(AG653="2",G653,0)</f>
        <v>0</v>
      </c>
      <c r="W653" s="11">
        <f>IF(AG653="2",H653,0)</f>
        <v>0</v>
      </c>
      <c r="X653" s="11">
        <f>IF(AG653="0",I653,0)</f>
        <v>0</v>
      </c>
      <c r="Y653" s="6"/>
      <c r="Z653" s="4">
        <f>IF(AD653=0,I653,0)</f>
        <v>0</v>
      </c>
      <c r="AA653" s="4">
        <f>IF(AD653=15,I653,0)</f>
        <v>0</v>
      </c>
      <c r="AB653" s="4">
        <f>IF(AD653=21,I653,0)</f>
        <v>0</v>
      </c>
      <c r="AD653" s="11">
        <v>21</v>
      </c>
      <c r="AE653" s="11">
        <f>F653*0.701494869771113</f>
        <v>0</v>
      </c>
      <c r="AF653" s="11">
        <f>F653*(1-0.701494869771113)</f>
        <v>0</v>
      </c>
      <c r="AG653" s="7" t="s">
        <v>498</v>
      </c>
      <c r="AM653" s="11">
        <f>E653*AE653</f>
        <v>0</v>
      </c>
      <c r="AN653" s="11">
        <f>E653*AF653</f>
        <v>0</v>
      </c>
      <c r="AO653" s="12" t="s">
        <v>213</v>
      </c>
      <c r="AP653" s="12" t="s">
        <v>232</v>
      </c>
      <c r="AQ653" s="6" t="s">
        <v>234</v>
      </c>
      <c r="AS653" s="11">
        <f>AM653+AN653</f>
        <v>0</v>
      </c>
      <c r="AT653" s="11">
        <f>F653/(100-AU653)*100</f>
        <v>0</v>
      </c>
      <c r="AU653" s="11">
        <v>0</v>
      </c>
      <c r="AV653" s="11">
        <f>K653</f>
        <v>0.93698272</v>
      </c>
    </row>
    <row r="654" spans="1:14" ht="12.75">
      <c r="A654" s="39"/>
      <c r="B654" s="39"/>
      <c r="C654" s="63" t="s">
        <v>62</v>
      </c>
      <c r="D654" s="39"/>
      <c r="E654" s="64">
        <v>0.608</v>
      </c>
      <c r="F654" s="39"/>
      <c r="G654" s="39"/>
      <c r="H654" s="39"/>
      <c r="I654" s="39"/>
      <c r="J654" s="39"/>
      <c r="K654" s="39"/>
      <c r="L654" s="39"/>
      <c r="M654" s="39"/>
      <c r="N654" s="39"/>
    </row>
    <row r="655" spans="1:14" ht="12.75">
      <c r="A655" s="39"/>
      <c r="B655" s="65" t="s">
        <v>872</v>
      </c>
      <c r="C655" s="303" t="s">
        <v>63</v>
      </c>
      <c r="D655" s="304"/>
      <c r="E655" s="304"/>
      <c r="F655" s="304"/>
      <c r="G655" s="304"/>
      <c r="H655" s="304"/>
      <c r="I655" s="304"/>
      <c r="J655" s="304"/>
      <c r="K655" s="304"/>
      <c r="L655" s="304"/>
      <c r="M655" s="39"/>
      <c r="N655" s="39"/>
    </row>
    <row r="656" spans="1:37" ht="12.75">
      <c r="A656" s="66"/>
      <c r="B656" s="67" t="s">
        <v>588</v>
      </c>
      <c r="C656" s="305" t="s">
        <v>64</v>
      </c>
      <c r="D656" s="306"/>
      <c r="E656" s="306"/>
      <c r="F656" s="306"/>
      <c r="G656" s="68">
        <f>SUM(G657:G657)</f>
        <v>0</v>
      </c>
      <c r="H656" s="68">
        <f>SUM(H657:H657)</f>
        <v>0</v>
      </c>
      <c r="I656" s="68">
        <f>G656+H656</f>
        <v>0</v>
      </c>
      <c r="J656" s="69"/>
      <c r="K656" s="68">
        <f>SUM(K657:K657)</f>
        <v>2.2476061499999997</v>
      </c>
      <c r="L656" s="69"/>
      <c r="M656" s="39"/>
      <c r="N656" s="39"/>
      <c r="Y656" s="6"/>
      <c r="AI656" s="13">
        <f>SUM(Z657:Z657)</f>
        <v>0</v>
      </c>
      <c r="AJ656" s="13">
        <f>SUM(AA657:AA657)</f>
        <v>0</v>
      </c>
      <c r="AK656" s="13">
        <f>SUM(AB657:AB657)</f>
        <v>0</v>
      </c>
    </row>
    <row r="657" spans="1:48" ht="12.75">
      <c r="A657" s="59" t="s">
        <v>832</v>
      </c>
      <c r="B657" s="59" t="s">
        <v>1217</v>
      </c>
      <c r="C657" s="59" t="s">
        <v>65</v>
      </c>
      <c r="D657" s="59" t="s">
        <v>146</v>
      </c>
      <c r="E657" s="60">
        <v>10.155</v>
      </c>
      <c r="F657" s="61"/>
      <c r="G657" s="61">
        <f>E657*AE657</f>
        <v>0</v>
      </c>
      <c r="H657" s="61">
        <f>I657-G657</f>
        <v>0</v>
      </c>
      <c r="I657" s="61">
        <f>E657*F657</f>
        <v>0</v>
      </c>
      <c r="J657" s="61">
        <v>0.22133</v>
      </c>
      <c r="K657" s="61">
        <f>E657*J657</f>
        <v>2.2476061499999997</v>
      </c>
      <c r="L657" s="62" t="s">
        <v>170</v>
      </c>
      <c r="M657" s="39"/>
      <c r="N657" s="39"/>
      <c r="P657" s="11">
        <f>IF(AG657="5",I657,0)</f>
        <v>0</v>
      </c>
      <c r="R657" s="11">
        <f>IF(AG657="1",G657,0)</f>
        <v>0</v>
      </c>
      <c r="S657" s="11">
        <f>IF(AG657="1",H657,0)</f>
        <v>0</v>
      </c>
      <c r="T657" s="11">
        <f>IF(AG657="7",G657,0)</f>
        <v>0</v>
      </c>
      <c r="U657" s="11">
        <f>IF(AG657="7",H657,0)</f>
        <v>0</v>
      </c>
      <c r="V657" s="11">
        <f>IF(AG657="2",G657,0)</f>
        <v>0</v>
      </c>
      <c r="W657" s="11">
        <f>IF(AG657="2",H657,0)</f>
        <v>0</v>
      </c>
      <c r="X657" s="11">
        <f>IF(AG657="0",I657,0)</f>
        <v>0</v>
      </c>
      <c r="Y657" s="6"/>
      <c r="Z657" s="4">
        <f>IF(AD657=0,I657,0)</f>
        <v>0</v>
      </c>
      <c r="AA657" s="4">
        <f>IF(AD657=15,I657,0)</f>
        <v>0</v>
      </c>
      <c r="AB657" s="4">
        <f>IF(AD657=21,I657,0)</f>
        <v>0</v>
      </c>
      <c r="AD657" s="11">
        <v>21</v>
      </c>
      <c r="AE657" s="11">
        <f>F657*0.716711915535445</f>
        <v>0</v>
      </c>
      <c r="AF657" s="11">
        <f>F657*(1-0.716711915535445)</f>
        <v>0</v>
      </c>
      <c r="AG657" s="7" t="s">
        <v>498</v>
      </c>
      <c r="AM657" s="11">
        <f>E657*AE657</f>
        <v>0</v>
      </c>
      <c r="AN657" s="11">
        <f>E657*AF657</f>
        <v>0</v>
      </c>
      <c r="AO657" s="12" t="s">
        <v>214</v>
      </c>
      <c r="AP657" s="12" t="s">
        <v>233</v>
      </c>
      <c r="AQ657" s="6" t="s">
        <v>234</v>
      </c>
      <c r="AS657" s="11">
        <f>AM657+AN657</f>
        <v>0</v>
      </c>
      <c r="AT657" s="11">
        <f>F657/(100-AU657)*100</f>
        <v>0</v>
      </c>
      <c r="AU657" s="11">
        <v>0</v>
      </c>
      <c r="AV657" s="11">
        <f>K657</f>
        <v>2.2476061499999997</v>
      </c>
    </row>
    <row r="658" spans="1:14" ht="12.75">
      <c r="A658" s="39"/>
      <c r="B658" s="39"/>
      <c r="C658" s="63" t="s">
        <v>66</v>
      </c>
      <c r="D658" s="39"/>
      <c r="E658" s="64">
        <v>10.155</v>
      </c>
      <c r="F658" s="39"/>
      <c r="G658" s="39"/>
      <c r="H658" s="39"/>
      <c r="I658" s="39"/>
      <c r="J658" s="39"/>
      <c r="K658" s="39"/>
      <c r="L658" s="39"/>
      <c r="M658" s="39"/>
      <c r="N658" s="39"/>
    </row>
    <row r="659" spans="1:37" ht="12.75">
      <c r="A659" s="66"/>
      <c r="B659" s="67" t="s">
        <v>591</v>
      </c>
      <c r="C659" s="305" t="s">
        <v>67</v>
      </c>
      <c r="D659" s="306"/>
      <c r="E659" s="306"/>
      <c r="F659" s="306"/>
      <c r="G659" s="68">
        <f>SUM(G660:G669)</f>
        <v>0</v>
      </c>
      <c r="H659" s="68">
        <f>SUM(H660:H669)</f>
        <v>0</v>
      </c>
      <c r="I659" s="68">
        <f>G659+H659</f>
        <v>0</v>
      </c>
      <c r="J659" s="69"/>
      <c r="K659" s="68">
        <f>SUM(K660:K669)</f>
        <v>18.83841144</v>
      </c>
      <c r="L659" s="69"/>
      <c r="M659" s="39"/>
      <c r="N659" s="39"/>
      <c r="Y659" s="6"/>
      <c r="AI659" s="13">
        <f>SUM(Z660:Z669)</f>
        <v>0</v>
      </c>
      <c r="AJ659" s="13">
        <f>SUM(AA660:AA669)</f>
        <v>0</v>
      </c>
      <c r="AK659" s="13">
        <f>SUM(AB660:AB669)</f>
        <v>0</v>
      </c>
    </row>
    <row r="660" spans="1:48" ht="12.75">
      <c r="A660" s="59" t="s">
        <v>833</v>
      </c>
      <c r="B660" s="59" t="s">
        <v>1218</v>
      </c>
      <c r="C660" s="59" t="s">
        <v>68</v>
      </c>
      <c r="D660" s="59" t="s">
        <v>142</v>
      </c>
      <c r="E660" s="60">
        <v>305.668</v>
      </c>
      <c r="F660" s="61"/>
      <c r="G660" s="61">
        <f>E660*AE660</f>
        <v>0</v>
      </c>
      <c r="H660" s="61">
        <f>I660-G660</f>
        <v>0</v>
      </c>
      <c r="I660" s="61">
        <f>E660*F660</f>
        <v>0</v>
      </c>
      <c r="J660" s="61">
        <v>0.02008</v>
      </c>
      <c r="K660" s="61">
        <f>E660*J660</f>
        <v>6.13781344</v>
      </c>
      <c r="L660" s="62" t="s">
        <v>170</v>
      </c>
      <c r="M660" s="39"/>
      <c r="N660" s="39"/>
      <c r="P660" s="11">
        <f>IF(AG660="5",I660,0)</f>
        <v>0</v>
      </c>
      <c r="R660" s="11">
        <f>IF(AG660="1",G660,0)</f>
        <v>0</v>
      </c>
      <c r="S660" s="11">
        <f>IF(AG660="1",H660,0)</f>
        <v>0</v>
      </c>
      <c r="T660" s="11">
        <f>IF(AG660="7",G660,0)</f>
        <v>0</v>
      </c>
      <c r="U660" s="11">
        <f>IF(AG660="7",H660,0)</f>
        <v>0</v>
      </c>
      <c r="V660" s="11">
        <f>IF(AG660="2",G660,0)</f>
        <v>0</v>
      </c>
      <c r="W660" s="11">
        <f>IF(AG660="2",H660,0)</f>
        <v>0</v>
      </c>
      <c r="X660" s="11">
        <f>IF(AG660="0",I660,0)</f>
        <v>0</v>
      </c>
      <c r="Y660" s="6"/>
      <c r="Z660" s="4">
        <f>IF(AD660=0,I660,0)</f>
        <v>0</v>
      </c>
      <c r="AA660" s="4">
        <f>IF(AD660=15,I660,0)</f>
        <v>0</v>
      </c>
      <c r="AB660" s="4">
        <f>IF(AD660=21,I660,0)</f>
        <v>0</v>
      </c>
      <c r="AD660" s="11">
        <v>21</v>
      </c>
      <c r="AE660" s="11">
        <f>F660*0.350776614892341</f>
        <v>0</v>
      </c>
      <c r="AF660" s="11">
        <f>F660*(1-0.350776614892341)</f>
        <v>0</v>
      </c>
      <c r="AG660" s="7" t="s">
        <v>498</v>
      </c>
      <c r="AM660" s="11">
        <f>E660*AE660</f>
        <v>0</v>
      </c>
      <c r="AN660" s="11">
        <f>E660*AF660</f>
        <v>0</v>
      </c>
      <c r="AO660" s="12" t="s">
        <v>215</v>
      </c>
      <c r="AP660" s="12" t="s">
        <v>233</v>
      </c>
      <c r="AQ660" s="6" t="s">
        <v>234</v>
      </c>
      <c r="AS660" s="11">
        <f>AM660+AN660</f>
        <v>0</v>
      </c>
      <c r="AT660" s="11">
        <f>F660/(100-AU660)*100</f>
        <v>0</v>
      </c>
      <c r="AU660" s="11">
        <v>0</v>
      </c>
      <c r="AV660" s="11">
        <f>K660</f>
        <v>6.13781344</v>
      </c>
    </row>
    <row r="661" spans="1:14" ht="12.75">
      <c r="A661" s="39"/>
      <c r="B661" s="39"/>
      <c r="C661" s="63" t="s">
        <v>1428</v>
      </c>
      <c r="D661" s="39"/>
      <c r="E661" s="64">
        <v>6.77</v>
      </c>
      <c r="F661" s="39"/>
      <c r="G661" s="39"/>
      <c r="H661" s="39"/>
      <c r="I661" s="39"/>
      <c r="J661" s="39"/>
      <c r="K661" s="39"/>
      <c r="L661" s="39"/>
      <c r="M661" s="39"/>
      <c r="N661" s="39"/>
    </row>
    <row r="662" spans="1:14" ht="12.75">
      <c r="A662" s="39"/>
      <c r="B662" s="39"/>
      <c r="C662" s="63" t="s">
        <v>69</v>
      </c>
      <c r="D662" s="39"/>
      <c r="E662" s="64">
        <v>298.898</v>
      </c>
      <c r="F662" s="39"/>
      <c r="G662" s="39"/>
      <c r="H662" s="39"/>
      <c r="I662" s="39"/>
      <c r="J662" s="39"/>
      <c r="K662" s="39"/>
      <c r="L662" s="39"/>
      <c r="M662" s="39"/>
      <c r="N662" s="39"/>
    </row>
    <row r="663" spans="1:48" ht="12.75">
      <c r="A663" s="59" t="s">
        <v>834</v>
      </c>
      <c r="B663" s="59" t="s">
        <v>1219</v>
      </c>
      <c r="C663" s="59" t="s">
        <v>70</v>
      </c>
      <c r="D663" s="59" t="s">
        <v>142</v>
      </c>
      <c r="E663" s="60">
        <v>191.35</v>
      </c>
      <c r="F663" s="61"/>
      <c r="G663" s="61">
        <f>E663*AE663</f>
        <v>0</v>
      </c>
      <c r="H663" s="61">
        <f>I663-G663</f>
        <v>0</v>
      </c>
      <c r="I663" s="61">
        <f>E663*F663</f>
        <v>0</v>
      </c>
      <c r="J663" s="61">
        <v>0.00158</v>
      </c>
      <c r="K663" s="61">
        <f>E663*J663</f>
        <v>0.302333</v>
      </c>
      <c r="L663" s="62" t="s">
        <v>170</v>
      </c>
      <c r="M663" s="39"/>
      <c r="N663" s="39"/>
      <c r="P663" s="11">
        <f>IF(AG663="5",I663,0)</f>
        <v>0</v>
      </c>
      <c r="R663" s="11">
        <f>IF(AG663="1",G663,0)</f>
        <v>0</v>
      </c>
      <c r="S663" s="11">
        <f>IF(AG663="1",H663,0)</f>
        <v>0</v>
      </c>
      <c r="T663" s="11">
        <f>IF(AG663="7",G663,0)</f>
        <v>0</v>
      </c>
      <c r="U663" s="11">
        <f>IF(AG663="7",H663,0)</f>
        <v>0</v>
      </c>
      <c r="V663" s="11">
        <f>IF(AG663="2",G663,0)</f>
        <v>0</v>
      </c>
      <c r="W663" s="11">
        <f>IF(AG663="2",H663,0)</f>
        <v>0</v>
      </c>
      <c r="X663" s="11">
        <f>IF(AG663="0",I663,0)</f>
        <v>0</v>
      </c>
      <c r="Y663" s="6"/>
      <c r="Z663" s="4">
        <f>IF(AD663=0,I663,0)</f>
        <v>0</v>
      </c>
      <c r="AA663" s="4">
        <f>IF(AD663=15,I663,0)</f>
        <v>0</v>
      </c>
      <c r="AB663" s="4">
        <f>IF(AD663=21,I663,0)</f>
        <v>0</v>
      </c>
      <c r="AD663" s="11">
        <v>21</v>
      </c>
      <c r="AE663" s="11">
        <f>F663*0.4197621900636</f>
        <v>0</v>
      </c>
      <c r="AF663" s="11">
        <f>F663*(1-0.4197621900636)</f>
        <v>0</v>
      </c>
      <c r="AG663" s="7" t="s">
        <v>498</v>
      </c>
      <c r="AM663" s="11">
        <f>E663*AE663</f>
        <v>0</v>
      </c>
      <c r="AN663" s="11">
        <f>E663*AF663</f>
        <v>0</v>
      </c>
      <c r="AO663" s="12" t="s">
        <v>215</v>
      </c>
      <c r="AP663" s="12" t="s">
        <v>233</v>
      </c>
      <c r="AQ663" s="6" t="s">
        <v>234</v>
      </c>
      <c r="AS663" s="11">
        <f>AM663+AN663</f>
        <v>0</v>
      </c>
      <c r="AT663" s="11">
        <f>F663/(100-AU663)*100</f>
        <v>0</v>
      </c>
      <c r="AU663" s="11">
        <v>0</v>
      </c>
      <c r="AV663" s="11">
        <f>K663</f>
        <v>0.302333</v>
      </c>
    </row>
    <row r="664" spans="1:14" ht="12.75">
      <c r="A664" s="39"/>
      <c r="B664" s="39"/>
      <c r="C664" s="63" t="s">
        <v>71</v>
      </c>
      <c r="D664" s="39"/>
      <c r="E664" s="64">
        <v>191.35</v>
      </c>
      <c r="F664" s="39"/>
      <c r="G664" s="39"/>
      <c r="H664" s="39"/>
      <c r="I664" s="39"/>
      <c r="J664" s="39"/>
      <c r="K664" s="39"/>
      <c r="L664" s="39"/>
      <c r="M664" s="39"/>
      <c r="N664" s="39"/>
    </row>
    <row r="665" spans="1:48" ht="12.75">
      <c r="A665" s="59" t="s">
        <v>835</v>
      </c>
      <c r="B665" s="59" t="s">
        <v>1220</v>
      </c>
      <c r="C665" s="59" t="s">
        <v>72</v>
      </c>
      <c r="D665" s="59" t="s">
        <v>141</v>
      </c>
      <c r="E665" s="60">
        <v>1633.5</v>
      </c>
      <c r="F665" s="61"/>
      <c r="G665" s="61">
        <f>E665*AE665</f>
        <v>0</v>
      </c>
      <c r="H665" s="61">
        <f>I665-G665</f>
        <v>0</v>
      </c>
      <c r="I665" s="61">
        <f>E665*F665</f>
        <v>0</v>
      </c>
      <c r="J665" s="61">
        <v>0.00735</v>
      </c>
      <c r="K665" s="61">
        <f>E665*J665</f>
        <v>12.006224999999999</v>
      </c>
      <c r="L665" s="62" t="s">
        <v>170</v>
      </c>
      <c r="M665" s="39"/>
      <c r="N665" s="39"/>
      <c r="P665" s="11">
        <f>IF(AG665="5",I665,0)</f>
        <v>0</v>
      </c>
      <c r="R665" s="11">
        <f>IF(AG665="1",G665,0)</f>
        <v>0</v>
      </c>
      <c r="S665" s="11">
        <f>IF(AG665="1",H665,0)</f>
        <v>0</v>
      </c>
      <c r="T665" s="11">
        <f>IF(AG665="7",G665,0)</f>
        <v>0</v>
      </c>
      <c r="U665" s="11">
        <f>IF(AG665="7",H665,0)</f>
        <v>0</v>
      </c>
      <c r="V665" s="11">
        <f>IF(AG665="2",G665,0)</f>
        <v>0</v>
      </c>
      <c r="W665" s="11">
        <f>IF(AG665="2",H665,0)</f>
        <v>0</v>
      </c>
      <c r="X665" s="11">
        <f>IF(AG665="0",I665,0)</f>
        <v>0</v>
      </c>
      <c r="Y665" s="6"/>
      <c r="Z665" s="4">
        <f>IF(AD665=0,I665,0)</f>
        <v>0</v>
      </c>
      <c r="AA665" s="4">
        <f>IF(AD665=15,I665,0)</f>
        <v>0</v>
      </c>
      <c r="AB665" s="4">
        <f>IF(AD665=21,I665,0)</f>
        <v>0</v>
      </c>
      <c r="AD665" s="11">
        <v>21</v>
      </c>
      <c r="AE665" s="11">
        <f>F665*0.00169491525423729</f>
        <v>0</v>
      </c>
      <c r="AF665" s="11">
        <f>F665*(1-0.00169491525423729)</f>
        <v>0</v>
      </c>
      <c r="AG665" s="7" t="s">
        <v>498</v>
      </c>
      <c r="AM665" s="11">
        <f>E665*AE665</f>
        <v>0</v>
      </c>
      <c r="AN665" s="11">
        <f>E665*AF665</f>
        <v>0</v>
      </c>
      <c r="AO665" s="12" t="s">
        <v>215</v>
      </c>
      <c r="AP665" s="12" t="s">
        <v>233</v>
      </c>
      <c r="AQ665" s="6" t="s">
        <v>234</v>
      </c>
      <c r="AS665" s="11">
        <f>AM665+AN665</f>
        <v>0</v>
      </c>
      <c r="AT665" s="11">
        <f>F665/(100-AU665)*100</f>
        <v>0</v>
      </c>
      <c r="AU665" s="11">
        <v>0</v>
      </c>
      <c r="AV665" s="11">
        <f>K665</f>
        <v>12.006224999999999</v>
      </c>
    </row>
    <row r="666" spans="1:14" ht="12.75">
      <c r="A666" s="39"/>
      <c r="B666" s="39"/>
      <c r="C666" s="63" t="s">
        <v>73</v>
      </c>
      <c r="D666" s="39"/>
      <c r="E666" s="64">
        <v>1633.5</v>
      </c>
      <c r="F666" s="39"/>
      <c r="G666" s="39"/>
      <c r="H666" s="39"/>
      <c r="I666" s="39"/>
      <c r="J666" s="39"/>
      <c r="K666" s="39"/>
      <c r="L666" s="39"/>
      <c r="M666" s="39"/>
      <c r="N666" s="39"/>
    </row>
    <row r="667" spans="1:48" ht="12.75">
      <c r="A667" s="59" t="s">
        <v>836</v>
      </c>
      <c r="B667" s="59" t="s">
        <v>1221</v>
      </c>
      <c r="C667" s="59" t="s">
        <v>74</v>
      </c>
      <c r="D667" s="59" t="s">
        <v>141</v>
      </c>
      <c r="E667" s="60">
        <v>3267</v>
      </c>
      <c r="F667" s="61"/>
      <c r="G667" s="61">
        <f>E667*AE667</f>
        <v>0</v>
      </c>
      <c r="H667" s="61">
        <f>I667-G667</f>
        <v>0</v>
      </c>
      <c r="I667" s="61">
        <f>E667*F667</f>
        <v>0</v>
      </c>
      <c r="J667" s="61">
        <v>0.00012</v>
      </c>
      <c r="K667" s="61">
        <f>E667*J667</f>
        <v>0.39204</v>
      </c>
      <c r="L667" s="62" t="s">
        <v>170</v>
      </c>
      <c r="M667" s="39"/>
      <c r="N667" s="39"/>
      <c r="P667" s="11">
        <f>IF(AG667="5",I667,0)</f>
        <v>0</v>
      </c>
      <c r="R667" s="11">
        <f>IF(AG667="1",G667,0)</f>
        <v>0</v>
      </c>
      <c r="S667" s="11">
        <f>IF(AG667="1",H667,0)</f>
        <v>0</v>
      </c>
      <c r="T667" s="11">
        <f>IF(AG667="7",G667,0)</f>
        <v>0</v>
      </c>
      <c r="U667" s="11">
        <f>IF(AG667="7",H667,0)</f>
        <v>0</v>
      </c>
      <c r="V667" s="11">
        <f>IF(AG667="2",G667,0)</f>
        <v>0</v>
      </c>
      <c r="W667" s="11">
        <f>IF(AG667="2",H667,0)</f>
        <v>0</v>
      </c>
      <c r="X667" s="11">
        <f>IF(AG667="0",I667,0)</f>
        <v>0</v>
      </c>
      <c r="Y667" s="6"/>
      <c r="Z667" s="4">
        <f>IF(AD667=0,I667,0)</f>
        <v>0</v>
      </c>
      <c r="AA667" s="4">
        <f>IF(AD667=15,I667,0)</f>
        <v>0</v>
      </c>
      <c r="AB667" s="4">
        <f>IF(AD667=21,I667,0)</f>
        <v>0</v>
      </c>
      <c r="AD667" s="11">
        <v>21</v>
      </c>
      <c r="AE667" s="11">
        <f>F667*0.929787234042553</f>
        <v>0</v>
      </c>
      <c r="AF667" s="11">
        <f>F667*(1-0.929787234042553)</f>
        <v>0</v>
      </c>
      <c r="AG667" s="7" t="s">
        <v>498</v>
      </c>
      <c r="AM667" s="11">
        <f>E667*AE667</f>
        <v>0</v>
      </c>
      <c r="AN667" s="11">
        <f>E667*AF667</f>
        <v>0</v>
      </c>
      <c r="AO667" s="12" t="s">
        <v>215</v>
      </c>
      <c r="AP667" s="12" t="s">
        <v>233</v>
      </c>
      <c r="AQ667" s="6" t="s">
        <v>234</v>
      </c>
      <c r="AS667" s="11">
        <f>AM667+AN667</f>
        <v>0</v>
      </c>
      <c r="AT667" s="11">
        <f>F667/(100-AU667)*100</f>
        <v>0</v>
      </c>
      <c r="AU667" s="11">
        <v>0</v>
      </c>
      <c r="AV667" s="11">
        <f>K667</f>
        <v>0.39204</v>
      </c>
    </row>
    <row r="668" spans="1:14" ht="12.75">
      <c r="A668" s="39"/>
      <c r="B668" s="39"/>
      <c r="C668" s="63" t="s">
        <v>75</v>
      </c>
      <c r="D668" s="39"/>
      <c r="E668" s="64">
        <v>3267</v>
      </c>
      <c r="F668" s="39"/>
      <c r="G668" s="39"/>
      <c r="H668" s="39"/>
      <c r="I668" s="39"/>
      <c r="J668" s="39"/>
      <c r="K668" s="39"/>
      <c r="L668" s="39"/>
      <c r="M668" s="39"/>
      <c r="N668" s="39"/>
    </row>
    <row r="669" spans="1:48" ht="12.75">
      <c r="A669" s="59" t="s">
        <v>837</v>
      </c>
      <c r="B669" s="59" t="s">
        <v>1222</v>
      </c>
      <c r="C669" s="59" t="s">
        <v>76</v>
      </c>
      <c r="D669" s="59" t="s">
        <v>141</v>
      </c>
      <c r="E669" s="60">
        <v>1633.5</v>
      </c>
      <c r="F669" s="61"/>
      <c r="G669" s="61">
        <f>E669*AE669</f>
        <v>0</v>
      </c>
      <c r="H669" s="61">
        <f>I669-G669</f>
        <v>0</v>
      </c>
      <c r="I669" s="61">
        <f>E669*F669</f>
        <v>0</v>
      </c>
      <c r="J669" s="61">
        <v>0</v>
      </c>
      <c r="K669" s="61">
        <f>E669*J669</f>
        <v>0</v>
      </c>
      <c r="L669" s="62" t="s">
        <v>170</v>
      </c>
      <c r="M669" s="39"/>
      <c r="N669" s="39"/>
      <c r="P669" s="11">
        <f>IF(AG669="5",I669,0)</f>
        <v>0</v>
      </c>
      <c r="R669" s="11">
        <f>IF(AG669="1",G669,0)</f>
        <v>0</v>
      </c>
      <c r="S669" s="11">
        <f>IF(AG669="1",H669,0)</f>
        <v>0</v>
      </c>
      <c r="T669" s="11">
        <f>IF(AG669="7",G669,0)</f>
        <v>0</v>
      </c>
      <c r="U669" s="11">
        <f>IF(AG669="7",H669,0)</f>
        <v>0</v>
      </c>
      <c r="V669" s="11">
        <f>IF(AG669="2",G669,0)</f>
        <v>0</v>
      </c>
      <c r="W669" s="11">
        <f>IF(AG669="2",H669,0)</f>
        <v>0</v>
      </c>
      <c r="X669" s="11">
        <f>IF(AG669="0",I669,0)</f>
        <v>0</v>
      </c>
      <c r="Y669" s="6"/>
      <c r="Z669" s="4">
        <f>IF(AD669=0,I669,0)</f>
        <v>0</v>
      </c>
      <c r="AA669" s="4">
        <f>IF(AD669=15,I669,0)</f>
        <v>0</v>
      </c>
      <c r="AB669" s="4">
        <f>IF(AD669=21,I669,0)</f>
        <v>0</v>
      </c>
      <c r="AD669" s="11">
        <v>21</v>
      </c>
      <c r="AE669" s="11">
        <f>F669*0</f>
        <v>0</v>
      </c>
      <c r="AF669" s="11">
        <f>F669*(1-0)</f>
        <v>0</v>
      </c>
      <c r="AG669" s="7" t="s">
        <v>498</v>
      </c>
      <c r="AM669" s="11">
        <f>E669*AE669</f>
        <v>0</v>
      </c>
      <c r="AN669" s="11">
        <f>E669*AF669</f>
        <v>0</v>
      </c>
      <c r="AO669" s="12" t="s">
        <v>215</v>
      </c>
      <c r="AP669" s="12" t="s">
        <v>233</v>
      </c>
      <c r="AQ669" s="6" t="s">
        <v>234</v>
      </c>
      <c r="AS669" s="11">
        <f>AM669+AN669</f>
        <v>0</v>
      </c>
      <c r="AT669" s="11">
        <f>F669/(100-AU669)*100</f>
        <v>0</v>
      </c>
      <c r="AU669" s="11">
        <v>0</v>
      </c>
      <c r="AV669" s="11">
        <f>K669</f>
        <v>0</v>
      </c>
    </row>
    <row r="670" spans="1:14" ht="12.75">
      <c r="A670" s="39"/>
      <c r="B670" s="39"/>
      <c r="C670" s="63" t="s">
        <v>77</v>
      </c>
      <c r="D670" s="39"/>
      <c r="E670" s="64">
        <v>1633.5</v>
      </c>
      <c r="F670" s="39"/>
      <c r="G670" s="39"/>
      <c r="H670" s="39"/>
      <c r="I670" s="39"/>
      <c r="J670" s="39"/>
      <c r="K670" s="39"/>
      <c r="L670" s="39"/>
      <c r="M670" s="39"/>
      <c r="N670" s="39"/>
    </row>
    <row r="671" spans="1:37" ht="12.75">
      <c r="A671" s="66"/>
      <c r="B671" s="67" t="s">
        <v>592</v>
      </c>
      <c r="C671" s="305" t="s">
        <v>78</v>
      </c>
      <c r="D671" s="306"/>
      <c r="E671" s="306"/>
      <c r="F671" s="306"/>
      <c r="G671" s="68">
        <f>SUM(G672:G689)</f>
        <v>0</v>
      </c>
      <c r="H671" s="68">
        <f>SUM(H672:H689)</f>
        <v>0</v>
      </c>
      <c r="I671" s="68">
        <f>G671+H671</f>
        <v>0</v>
      </c>
      <c r="J671" s="69"/>
      <c r="K671" s="68">
        <f>SUM(K672:K689)</f>
        <v>1.6687687599999999</v>
      </c>
      <c r="L671" s="69"/>
      <c r="M671" s="39"/>
      <c r="N671" s="39"/>
      <c r="Y671" s="6"/>
      <c r="AI671" s="13">
        <f>SUM(Z672:Z689)</f>
        <v>0</v>
      </c>
      <c r="AJ671" s="13">
        <f>SUM(AA672:AA689)</f>
        <v>0</v>
      </c>
      <c r="AK671" s="13">
        <f>SUM(AB672:AB689)</f>
        <v>0</v>
      </c>
    </row>
    <row r="672" spans="1:48" ht="12.75">
      <c r="A672" s="59" t="s">
        <v>838</v>
      </c>
      <c r="B672" s="59" t="s">
        <v>1223</v>
      </c>
      <c r="C672" s="59" t="s">
        <v>79</v>
      </c>
      <c r="D672" s="59" t="s">
        <v>144</v>
      </c>
      <c r="E672" s="60">
        <v>88</v>
      </c>
      <c r="F672" s="61"/>
      <c r="G672" s="61">
        <f>E672*AE672</f>
        <v>0</v>
      </c>
      <c r="H672" s="61">
        <f>I672-G672</f>
        <v>0</v>
      </c>
      <c r="I672" s="61">
        <f>E672*F672</f>
        <v>0</v>
      </c>
      <c r="J672" s="61">
        <v>0.00468</v>
      </c>
      <c r="K672" s="61">
        <f>E672*J672</f>
        <v>0.41184</v>
      </c>
      <c r="L672" s="62" t="s">
        <v>170</v>
      </c>
      <c r="M672" s="39"/>
      <c r="N672" s="39"/>
      <c r="P672" s="11">
        <f>IF(AG672="5",I672,0)</f>
        <v>0</v>
      </c>
      <c r="R672" s="11">
        <f>IF(AG672="1",G672,0)</f>
        <v>0</v>
      </c>
      <c r="S672" s="11">
        <f>IF(AG672="1",H672,0)</f>
        <v>0</v>
      </c>
      <c r="T672" s="11">
        <f>IF(AG672="7",G672,0)</f>
        <v>0</v>
      </c>
      <c r="U672" s="11">
        <f>IF(AG672="7",H672,0)</f>
        <v>0</v>
      </c>
      <c r="V672" s="11">
        <f>IF(AG672="2",G672,0)</f>
        <v>0</v>
      </c>
      <c r="W672" s="11">
        <f>IF(AG672="2",H672,0)</f>
        <v>0</v>
      </c>
      <c r="X672" s="11">
        <f>IF(AG672="0",I672,0)</f>
        <v>0</v>
      </c>
      <c r="Y672" s="6"/>
      <c r="Z672" s="4">
        <f>IF(AD672=0,I672,0)</f>
        <v>0</v>
      </c>
      <c r="AA672" s="4">
        <f>IF(AD672=15,I672,0)</f>
        <v>0</v>
      </c>
      <c r="AB672" s="4">
        <f>IF(AD672=21,I672,0)</f>
        <v>0</v>
      </c>
      <c r="AD672" s="11">
        <v>21</v>
      </c>
      <c r="AE672" s="11">
        <f>F672*0.0400028987607798</f>
        <v>0</v>
      </c>
      <c r="AF672" s="11">
        <f>F672*(1-0.0400028987607798)</f>
        <v>0</v>
      </c>
      <c r="AG672" s="7" t="s">
        <v>498</v>
      </c>
      <c r="AM672" s="11">
        <f>E672*AE672</f>
        <v>0</v>
      </c>
      <c r="AN672" s="11">
        <f>E672*AF672</f>
        <v>0</v>
      </c>
      <c r="AO672" s="12" t="s">
        <v>216</v>
      </c>
      <c r="AP672" s="12" t="s">
        <v>233</v>
      </c>
      <c r="AQ672" s="6" t="s">
        <v>234</v>
      </c>
      <c r="AS672" s="11">
        <f>AM672+AN672</f>
        <v>0</v>
      </c>
      <c r="AT672" s="11">
        <f>F672/(100-AU672)*100</f>
        <v>0</v>
      </c>
      <c r="AU672" s="11">
        <v>0</v>
      </c>
      <c r="AV672" s="11">
        <f>K672</f>
        <v>0.41184</v>
      </c>
    </row>
    <row r="673" spans="1:14" ht="12.75">
      <c r="A673" s="39"/>
      <c r="B673" s="39"/>
      <c r="C673" s="63" t="s">
        <v>80</v>
      </c>
      <c r="D673" s="39"/>
      <c r="E673" s="64">
        <v>88</v>
      </c>
      <c r="F673" s="39"/>
      <c r="G673" s="39"/>
      <c r="H673" s="39"/>
      <c r="I673" s="39"/>
      <c r="J673" s="39"/>
      <c r="K673" s="39"/>
      <c r="L673" s="39"/>
      <c r="M673" s="39"/>
      <c r="N673" s="39"/>
    </row>
    <row r="674" spans="1:48" ht="12.75">
      <c r="A674" s="70" t="s">
        <v>839</v>
      </c>
      <c r="B674" s="70" t="s">
        <v>1224</v>
      </c>
      <c r="C674" s="70" t="s">
        <v>81</v>
      </c>
      <c r="D674" s="70" t="s">
        <v>142</v>
      </c>
      <c r="E674" s="71">
        <v>32.314</v>
      </c>
      <c r="F674" s="72"/>
      <c r="G674" s="72">
        <f>E674*AE674</f>
        <v>0</v>
      </c>
      <c r="H674" s="72">
        <f>I674-G674</f>
        <v>0</v>
      </c>
      <c r="I674" s="72">
        <f>E674*F674</f>
        <v>0</v>
      </c>
      <c r="J674" s="72">
        <v>0.02014</v>
      </c>
      <c r="K674" s="72">
        <f>E674*J674</f>
        <v>0.6508039600000001</v>
      </c>
      <c r="L674" s="73" t="s">
        <v>170</v>
      </c>
      <c r="M674" s="39"/>
      <c r="N674" s="39"/>
      <c r="P674" s="11">
        <f>IF(AG674="5",I674,0)</f>
        <v>0</v>
      </c>
      <c r="R674" s="11">
        <f>IF(AG674="1",G674,0)</f>
        <v>0</v>
      </c>
      <c r="S674" s="11">
        <f>IF(AG674="1",H674,0)</f>
        <v>0</v>
      </c>
      <c r="T674" s="11">
        <f>IF(AG674="7",G674,0)</f>
        <v>0</v>
      </c>
      <c r="U674" s="11">
        <f>IF(AG674="7",H674,0)</f>
        <v>0</v>
      </c>
      <c r="V674" s="11">
        <f>IF(AG674="2",G674,0)</f>
        <v>0</v>
      </c>
      <c r="W674" s="11">
        <f>IF(AG674="2",H674,0)</f>
        <v>0</v>
      </c>
      <c r="X674" s="11">
        <f>IF(AG674="0",I674,0)</f>
        <v>0</v>
      </c>
      <c r="Y674" s="6"/>
      <c r="Z674" s="5">
        <f>IF(AD674=0,I674,0)</f>
        <v>0</v>
      </c>
      <c r="AA674" s="5">
        <f>IF(AD674=15,I674,0)</f>
        <v>0</v>
      </c>
      <c r="AB674" s="5">
        <f>IF(AD674=21,I674,0)</f>
        <v>0</v>
      </c>
      <c r="AD674" s="11">
        <v>21</v>
      </c>
      <c r="AE674" s="11">
        <f>F674*1</f>
        <v>0</v>
      </c>
      <c r="AF674" s="11">
        <f>F674*(1-1)</f>
        <v>0</v>
      </c>
      <c r="AG674" s="8" t="s">
        <v>498</v>
      </c>
      <c r="AM674" s="11">
        <f>E674*AE674</f>
        <v>0</v>
      </c>
      <c r="AN674" s="11">
        <f>E674*AF674</f>
        <v>0</v>
      </c>
      <c r="AO674" s="12" t="s">
        <v>216</v>
      </c>
      <c r="AP674" s="12" t="s">
        <v>233</v>
      </c>
      <c r="AQ674" s="6" t="s">
        <v>234</v>
      </c>
      <c r="AS674" s="11">
        <f>AM674+AN674</f>
        <v>0</v>
      </c>
      <c r="AT674" s="11">
        <f>F674/(100-AU674)*100</f>
        <v>0</v>
      </c>
      <c r="AU674" s="11">
        <v>0</v>
      </c>
      <c r="AV674" s="11">
        <f>K674</f>
        <v>0.6508039600000001</v>
      </c>
    </row>
    <row r="675" spans="1:14" ht="12.75">
      <c r="A675" s="39"/>
      <c r="B675" s="39"/>
      <c r="C675" s="63" t="s">
        <v>82</v>
      </c>
      <c r="D675" s="39"/>
      <c r="E675" s="64">
        <v>32.314</v>
      </c>
      <c r="F675" s="39"/>
      <c r="G675" s="39"/>
      <c r="H675" s="39"/>
      <c r="I675" s="39"/>
      <c r="J675" s="39"/>
      <c r="K675" s="39"/>
      <c r="L675" s="39"/>
      <c r="M675" s="39"/>
      <c r="N675" s="39"/>
    </row>
    <row r="676" spans="1:48" ht="12.75">
      <c r="A676" s="59" t="s">
        <v>840</v>
      </c>
      <c r="B676" s="59"/>
      <c r="C676" s="59"/>
      <c r="D676" s="59"/>
      <c r="E676" s="60"/>
      <c r="F676" s="61"/>
      <c r="G676" s="61">
        <f>E676*AE676</f>
        <v>0</v>
      </c>
      <c r="H676" s="61">
        <f>I676-G676</f>
        <v>0</v>
      </c>
      <c r="I676" s="61"/>
      <c r="J676" s="61">
        <v>0.01</v>
      </c>
      <c r="K676" s="61"/>
      <c r="L676" s="62"/>
      <c r="M676" s="39"/>
      <c r="N676" s="39"/>
      <c r="P676" s="11">
        <f>IF(AG676="5",I676,0)</f>
        <v>0</v>
      </c>
      <c r="R676" s="11">
        <f>IF(AG676="1",G676,0)</f>
        <v>0</v>
      </c>
      <c r="S676" s="11">
        <f>IF(AG676="1",H676,0)</f>
        <v>0</v>
      </c>
      <c r="T676" s="11">
        <f>IF(AG676="7",G676,0)</f>
        <v>0</v>
      </c>
      <c r="U676" s="11">
        <f>IF(AG676="7",H676,0)</f>
        <v>0</v>
      </c>
      <c r="V676" s="11">
        <f>IF(AG676="2",G676,0)</f>
        <v>0</v>
      </c>
      <c r="W676" s="11">
        <f>IF(AG676="2",H676,0)</f>
        <v>0</v>
      </c>
      <c r="X676" s="11">
        <f>IF(AG676="0",I676,0)</f>
        <v>0</v>
      </c>
      <c r="Y676" s="6"/>
      <c r="Z676" s="4">
        <f>IF(AD676=0,I676,0)</f>
        <v>0</v>
      </c>
      <c r="AA676" s="4">
        <f>IF(AD676=15,I676,0)</f>
        <v>0</v>
      </c>
      <c r="AB676" s="4">
        <f>IF(AD676=21,I676,0)</f>
        <v>0</v>
      </c>
      <c r="AD676" s="11">
        <v>21</v>
      </c>
      <c r="AE676" s="11">
        <f>F676*0.90330507975749</f>
        <v>0</v>
      </c>
      <c r="AF676" s="11">
        <f>F676*(1-0.90330507975749)</f>
        <v>0</v>
      </c>
      <c r="AG676" s="7" t="s">
        <v>498</v>
      </c>
      <c r="AM676" s="11">
        <f>E676*AE676</f>
        <v>0</v>
      </c>
      <c r="AN676" s="11">
        <f>E676*AF676</f>
        <v>0</v>
      </c>
      <c r="AO676" s="12" t="s">
        <v>216</v>
      </c>
      <c r="AP676" s="12" t="s">
        <v>233</v>
      </c>
      <c r="AQ676" s="6" t="s">
        <v>234</v>
      </c>
      <c r="AS676" s="11">
        <f>AM676+AN676</f>
        <v>0</v>
      </c>
      <c r="AT676" s="11">
        <f>F676/(100-AU676)*100</f>
        <v>0</v>
      </c>
      <c r="AU676" s="11">
        <v>0</v>
      </c>
      <c r="AV676" s="11">
        <f>K676</f>
        <v>0</v>
      </c>
    </row>
    <row r="677" spans="1:14" ht="12.75">
      <c r="A677" s="39"/>
      <c r="B677" s="39"/>
      <c r="C677" s="63"/>
      <c r="D677" s="39"/>
      <c r="E677" s="64"/>
      <c r="F677" s="39"/>
      <c r="G677" s="39"/>
      <c r="H677" s="39"/>
      <c r="I677" s="39"/>
      <c r="J677" s="39"/>
      <c r="K677" s="39"/>
      <c r="L677" s="39"/>
      <c r="M677" s="39"/>
      <c r="N677" s="39"/>
    </row>
    <row r="678" spans="1:48" ht="12.75">
      <c r="A678" s="59" t="s">
        <v>841</v>
      </c>
      <c r="B678" s="59" t="s">
        <v>1225</v>
      </c>
      <c r="C678" s="59" t="s">
        <v>83</v>
      </c>
      <c r="D678" s="59" t="s">
        <v>144</v>
      </c>
      <c r="E678" s="60">
        <v>2</v>
      </c>
      <c r="F678" s="61"/>
      <c r="G678" s="61">
        <f>E678*AE678</f>
        <v>0</v>
      </c>
      <c r="H678" s="61">
        <f>I678-G678</f>
        <v>0</v>
      </c>
      <c r="I678" s="61">
        <f>E678*F678</f>
        <v>0</v>
      </c>
      <c r="J678" s="61">
        <v>0.00713</v>
      </c>
      <c r="K678" s="61">
        <f>E678*J678</f>
        <v>0.01426</v>
      </c>
      <c r="L678" s="62" t="s">
        <v>170</v>
      </c>
      <c r="M678" s="39"/>
      <c r="N678" s="39"/>
      <c r="P678" s="11">
        <f>IF(AG678="5",I678,0)</f>
        <v>0</v>
      </c>
      <c r="R678" s="11">
        <f>IF(AG678="1",G678,0)</f>
        <v>0</v>
      </c>
      <c r="S678" s="11">
        <f>IF(AG678="1",H678,0)</f>
        <v>0</v>
      </c>
      <c r="T678" s="11">
        <f>IF(AG678="7",G678,0)</f>
        <v>0</v>
      </c>
      <c r="U678" s="11">
        <f>IF(AG678="7",H678,0)</f>
        <v>0</v>
      </c>
      <c r="V678" s="11">
        <f>IF(AG678="2",G678,0)</f>
        <v>0</v>
      </c>
      <c r="W678" s="11">
        <f>IF(AG678="2",H678,0)</f>
        <v>0</v>
      </c>
      <c r="X678" s="11">
        <f>IF(AG678="0",I678,0)</f>
        <v>0</v>
      </c>
      <c r="Y678" s="6"/>
      <c r="Z678" s="4">
        <f>IF(AD678=0,I678,0)</f>
        <v>0</v>
      </c>
      <c r="AA678" s="4">
        <f>IF(AD678=15,I678,0)</f>
        <v>0</v>
      </c>
      <c r="AB678" s="4">
        <f>IF(AD678=21,I678,0)</f>
        <v>0</v>
      </c>
      <c r="AD678" s="11">
        <v>21</v>
      </c>
      <c r="AE678" s="11">
        <f>F678*0.032972027972028</f>
        <v>0</v>
      </c>
      <c r="AF678" s="11">
        <f>F678*(1-0.032972027972028)</f>
        <v>0</v>
      </c>
      <c r="AG678" s="7" t="s">
        <v>498</v>
      </c>
      <c r="AM678" s="11">
        <f>E678*AE678</f>
        <v>0</v>
      </c>
      <c r="AN678" s="11">
        <f>E678*AF678</f>
        <v>0</v>
      </c>
      <c r="AO678" s="12" t="s">
        <v>216</v>
      </c>
      <c r="AP678" s="12" t="s">
        <v>233</v>
      </c>
      <c r="AQ678" s="6" t="s">
        <v>234</v>
      </c>
      <c r="AS678" s="11">
        <f>AM678+AN678</f>
        <v>0</v>
      </c>
      <c r="AT678" s="11">
        <f>F678/(100-AU678)*100</f>
        <v>0</v>
      </c>
      <c r="AU678" s="11">
        <v>0</v>
      </c>
      <c r="AV678" s="11">
        <f>K678</f>
        <v>0.01426</v>
      </c>
    </row>
    <row r="679" spans="1:14" ht="12.75">
      <c r="A679" s="39"/>
      <c r="B679" s="39"/>
      <c r="C679" s="63" t="s">
        <v>499</v>
      </c>
      <c r="D679" s="39"/>
      <c r="E679" s="64">
        <v>2</v>
      </c>
      <c r="F679" s="39"/>
      <c r="G679" s="39"/>
      <c r="H679" s="39"/>
      <c r="I679" s="39"/>
      <c r="J679" s="39"/>
      <c r="K679" s="39"/>
      <c r="L679" s="39"/>
      <c r="M679" s="39"/>
      <c r="N679" s="39"/>
    </row>
    <row r="680" spans="1:48" ht="12.75">
      <c r="A680" s="70" t="s">
        <v>842</v>
      </c>
      <c r="B680" s="70" t="s">
        <v>1226</v>
      </c>
      <c r="C680" s="70" t="s">
        <v>84</v>
      </c>
      <c r="D680" s="70" t="s">
        <v>144</v>
      </c>
      <c r="E680" s="71">
        <v>2</v>
      </c>
      <c r="F680" s="72"/>
      <c r="G680" s="72">
        <f>E680*AE680</f>
        <v>0</v>
      </c>
      <c r="H680" s="72">
        <f>I680-G680</f>
        <v>0</v>
      </c>
      <c r="I680" s="72">
        <f>E680*F680</f>
        <v>0</v>
      </c>
      <c r="J680" s="72">
        <v>0.0186</v>
      </c>
      <c r="K680" s="72">
        <f>E680*J680</f>
        <v>0.0372</v>
      </c>
      <c r="L680" s="73" t="s">
        <v>170</v>
      </c>
      <c r="M680" s="39"/>
      <c r="N680" s="39"/>
      <c r="P680" s="11">
        <f>IF(AG680="5",I680,0)</f>
        <v>0</v>
      </c>
      <c r="R680" s="11">
        <f>IF(AG680="1",G680,0)</f>
        <v>0</v>
      </c>
      <c r="S680" s="11">
        <f>IF(AG680="1",H680,0)</f>
        <v>0</v>
      </c>
      <c r="T680" s="11">
        <f>IF(AG680="7",G680,0)</f>
        <v>0</v>
      </c>
      <c r="U680" s="11">
        <f>IF(AG680="7",H680,0)</f>
        <v>0</v>
      </c>
      <c r="V680" s="11">
        <f>IF(AG680="2",G680,0)</f>
        <v>0</v>
      </c>
      <c r="W680" s="11">
        <f>IF(AG680="2",H680,0)</f>
        <v>0</v>
      </c>
      <c r="X680" s="11">
        <f>IF(AG680="0",I680,0)</f>
        <v>0</v>
      </c>
      <c r="Y680" s="6"/>
      <c r="Z680" s="5">
        <f>IF(AD680=0,I680,0)</f>
        <v>0</v>
      </c>
      <c r="AA680" s="5">
        <f>IF(AD680=15,I680,0)</f>
        <v>0</v>
      </c>
      <c r="AB680" s="5">
        <f>IF(AD680=21,I680,0)</f>
        <v>0</v>
      </c>
      <c r="AD680" s="11">
        <v>21</v>
      </c>
      <c r="AE680" s="11">
        <f>F680*1</f>
        <v>0</v>
      </c>
      <c r="AF680" s="11">
        <f>F680*(1-1)</f>
        <v>0</v>
      </c>
      <c r="AG680" s="8" t="s">
        <v>498</v>
      </c>
      <c r="AM680" s="11">
        <f>E680*AE680</f>
        <v>0</v>
      </c>
      <c r="AN680" s="11">
        <f>E680*AF680</f>
        <v>0</v>
      </c>
      <c r="AO680" s="12" t="s">
        <v>216</v>
      </c>
      <c r="AP680" s="12" t="s">
        <v>233</v>
      </c>
      <c r="AQ680" s="6" t="s">
        <v>234</v>
      </c>
      <c r="AS680" s="11">
        <f>AM680+AN680</f>
        <v>0</v>
      </c>
      <c r="AT680" s="11">
        <f>F680/(100-AU680)*100</f>
        <v>0</v>
      </c>
      <c r="AU680" s="11">
        <v>0</v>
      </c>
      <c r="AV680" s="11">
        <f>K680</f>
        <v>0.0372</v>
      </c>
    </row>
    <row r="681" spans="1:14" ht="12.75">
      <c r="A681" s="39"/>
      <c r="B681" s="39"/>
      <c r="C681" s="63" t="s">
        <v>85</v>
      </c>
      <c r="D681" s="39"/>
      <c r="E681" s="64">
        <v>2</v>
      </c>
      <c r="F681" s="39"/>
      <c r="G681" s="39"/>
      <c r="H681" s="39"/>
      <c r="I681" s="39"/>
      <c r="J681" s="39"/>
      <c r="K681" s="39"/>
      <c r="L681" s="39"/>
      <c r="M681" s="39"/>
      <c r="N681" s="39"/>
    </row>
    <row r="682" spans="1:48" ht="12.75">
      <c r="A682" s="59" t="s">
        <v>843</v>
      </c>
      <c r="B682" s="59" t="s">
        <v>1227</v>
      </c>
      <c r="C682" s="59" t="s">
        <v>86</v>
      </c>
      <c r="D682" s="59" t="s">
        <v>144</v>
      </c>
      <c r="E682" s="60">
        <v>6</v>
      </c>
      <c r="F682" s="61"/>
      <c r="G682" s="61">
        <f>E682*AE682</f>
        <v>0</v>
      </c>
      <c r="H682" s="61">
        <f>I682-G682</f>
        <v>0</v>
      </c>
      <c r="I682" s="61">
        <f>E682*F682</f>
        <v>0</v>
      </c>
      <c r="J682" s="61">
        <v>0.00705</v>
      </c>
      <c r="K682" s="61">
        <f>E682*J682</f>
        <v>0.0423</v>
      </c>
      <c r="L682" s="62" t="s">
        <v>170</v>
      </c>
      <c r="M682" s="39"/>
      <c r="N682" s="39"/>
      <c r="P682" s="11">
        <f>IF(AG682="5",I682,0)</f>
        <v>0</v>
      </c>
      <c r="R682" s="11">
        <f>IF(AG682="1",G682,0)</f>
        <v>0</v>
      </c>
      <c r="S682" s="11">
        <f>IF(AG682="1",H682,0)</f>
        <v>0</v>
      </c>
      <c r="T682" s="11">
        <f>IF(AG682="7",G682,0)</f>
        <v>0</v>
      </c>
      <c r="U682" s="11">
        <f>IF(AG682="7",H682,0)</f>
        <v>0</v>
      </c>
      <c r="V682" s="11">
        <f>IF(AG682="2",G682,0)</f>
        <v>0</v>
      </c>
      <c r="W682" s="11">
        <f>IF(AG682="2",H682,0)</f>
        <v>0</v>
      </c>
      <c r="X682" s="11">
        <f>IF(AG682="0",I682,0)</f>
        <v>0</v>
      </c>
      <c r="Y682" s="6"/>
      <c r="Z682" s="4">
        <f>IF(AD682=0,I682,0)</f>
        <v>0</v>
      </c>
      <c r="AA682" s="4">
        <f>IF(AD682=15,I682,0)</f>
        <v>0</v>
      </c>
      <c r="AB682" s="4">
        <f>IF(AD682=21,I682,0)</f>
        <v>0</v>
      </c>
      <c r="AD682" s="11">
        <v>21</v>
      </c>
      <c r="AE682" s="11">
        <f>F682*0.483485254691689</f>
        <v>0</v>
      </c>
      <c r="AF682" s="11">
        <f>F682*(1-0.483485254691689)</f>
        <v>0</v>
      </c>
      <c r="AG682" s="7" t="s">
        <v>498</v>
      </c>
      <c r="AM682" s="11">
        <f>E682*AE682</f>
        <v>0</v>
      </c>
      <c r="AN682" s="11">
        <f>E682*AF682</f>
        <v>0</v>
      </c>
      <c r="AO682" s="12" t="s">
        <v>216</v>
      </c>
      <c r="AP682" s="12" t="s">
        <v>233</v>
      </c>
      <c r="AQ682" s="6" t="s">
        <v>234</v>
      </c>
      <c r="AS682" s="11">
        <f>AM682+AN682</f>
        <v>0</v>
      </c>
      <c r="AT682" s="11">
        <f>F682/(100-AU682)*100</f>
        <v>0</v>
      </c>
      <c r="AU682" s="11">
        <v>0</v>
      </c>
      <c r="AV682" s="11">
        <f>K682</f>
        <v>0.0423</v>
      </c>
    </row>
    <row r="683" spans="1:14" ht="12.75">
      <c r="A683" s="39"/>
      <c r="B683" s="39"/>
      <c r="C683" s="63" t="s">
        <v>87</v>
      </c>
      <c r="D683" s="39"/>
      <c r="E683" s="64">
        <v>6</v>
      </c>
      <c r="F683" s="39"/>
      <c r="G683" s="39"/>
      <c r="H683" s="39"/>
      <c r="I683" s="39"/>
      <c r="J683" s="39"/>
      <c r="K683" s="39"/>
      <c r="L683" s="39"/>
      <c r="M683" s="39"/>
      <c r="N683" s="39"/>
    </row>
    <row r="684" spans="1:48" ht="12.75">
      <c r="A684" s="59" t="s">
        <v>844</v>
      </c>
      <c r="B684" s="59" t="s">
        <v>1228</v>
      </c>
      <c r="C684" s="59" t="s">
        <v>88</v>
      </c>
      <c r="D684" s="59" t="s">
        <v>142</v>
      </c>
      <c r="E684" s="60">
        <v>309.12</v>
      </c>
      <c r="F684" s="61"/>
      <c r="G684" s="61">
        <f>E684*AE684</f>
        <v>0</v>
      </c>
      <c r="H684" s="61">
        <f>I684-G684</f>
        <v>0</v>
      </c>
      <c r="I684" s="61">
        <f>E684*F684</f>
        <v>0</v>
      </c>
      <c r="J684" s="61">
        <v>4E-05</v>
      </c>
      <c r="K684" s="61">
        <f>E684*J684</f>
        <v>0.0123648</v>
      </c>
      <c r="L684" s="62" t="s">
        <v>170</v>
      </c>
      <c r="M684" s="39"/>
      <c r="N684" s="39"/>
      <c r="P684" s="11">
        <f>IF(AG684="5",I684,0)</f>
        <v>0</v>
      </c>
      <c r="R684" s="11">
        <f>IF(AG684="1",G684,0)</f>
        <v>0</v>
      </c>
      <c r="S684" s="11">
        <f>IF(AG684="1",H684,0)</f>
        <v>0</v>
      </c>
      <c r="T684" s="11">
        <f>IF(AG684="7",G684,0)</f>
        <v>0</v>
      </c>
      <c r="U684" s="11">
        <f>IF(AG684="7",H684,0)</f>
        <v>0</v>
      </c>
      <c r="V684" s="11">
        <f>IF(AG684="2",G684,0)</f>
        <v>0</v>
      </c>
      <c r="W684" s="11">
        <f>IF(AG684="2",H684,0)</f>
        <v>0</v>
      </c>
      <c r="X684" s="11">
        <f>IF(AG684="0",I684,0)</f>
        <v>0</v>
      </c>
      <c r="Y684" s="6"/>
      <c r="Z684" s="4">
        <f>IF(AD684=0,I684,0)</f>
        <v>0</v>
      </c>
      <c r="AA684" s="4">
        <f>IF(AD684=15,I684,0)</f>
        <v>0</v>
      </c>
      <c r="AB684" s="4">
        <f>IF(AD684=21,I684,0)</f>
        <v>0</v>
      </c>
      <c r="AD684" s="11">
        <v>21</v>
      </c>
      <c r="AE684" s="11">
        <f>F684*0.0185135135135135</f>
        <v>0</v>
      </c>
      <c r="AF684" s="11">
        <f>F684*(1-0.0185135135135135)</f>
        <v>0</v>
      </c>
      <c r="AG684" s="7" t="s">
        <v>498</v>
      </c>
      <c r="AM684" s="11">
        <f>E684*AE684</f>
        <v>0</v>
      </c>
      <c r="AN684" s="11">
        <f>E684*AF684</f>
        <v>0</v>
      </c>
      <c r="AO684" s="12" t="s">
        <v>216</v>
      </c>
      <c r="AP684" s="12" t="s">
        <v>233</v>
      </c>
      <c r="AQ684" s="6" t="s">
        <v>234</v>
      </c>
      <c r="AS684" s="11">
        <f>AM684+AN684</f>
        <v>0</v>
      </c>
      <c r="AT684" s="11">
        <f>F684/(100-AU684)*100</f>
        <v>0</v>
      </c>
      <c r="AU684" s="11">
        <v>0</v>
      </c>
      <c r="AV684" s="11">
        <f>K684</f>
        <v>0.0123648</v>
      </c>
    </row>
    <row r="685" spans="1:14" ht="12.75">
      <c r="A685" s="39"/>
      <c r="B685" s="39"/>
      <c r="C685" s="63" t="s">
        <v>89</v>
      </c>
      <c r="D685" s="39"/>
      <c r="E685" s="64">
        <v>309.12</v>
      </c>
      <c r="F685" s="39"/>
      <c r="G685" s="39"/>
      <c r="H685" s="39"/>
      <c r="I685" s="39"/>
      <c r="J685" s="39"/>
      <c r="K685" s="39"/>
      <c r="L685" s="39"/>
      <c r="M685" s="39"/>
      <c r="N685" s="39"/>
    </row>
    <row r="686" spans="1:48" ht="12.75">
      <c r="A686" s="59" t="s">
        <v>845</v>
      </c>
      <c r="B686" s="59" t="s">
        <v>1229</v>
      </c>
      <c r="C686" s="59" t="s">
        <v>90</v>
      </c>
      <c r="D686" s="59" t="s">
        <v>150</v>
      </c>
      <c r="E686" s="60">
        <v>1</v>
      </c>
      <c r="F686" s="61"/>
      <c r="G686" s="61">
        <f>E686*AE686</f>
        <v>0</v>
      </c>
      <c r="H686" s="61">
        <f>I686-G686</f>
        <v>0</v>
      </c>
      <c r="I686" s="61">
        <f>E686*F686</f>
        <v>0</v>
      </c>
      <c r="J686" s="61">
        <v>0.5</v>
      </c>
      <c r="K686" s="61">
        <f>E686*J686</f>
        <v>0.5</v>
      </c>
      <c r="L686" s="62" t="s">
        <v>170</v>
      </c>
      <c r="M686" s="39"/>
      <c r="N686" s="39"/>
      <c r="P686" s="11">
        <f>IF(AG686="5",I686,0)</f>
        <v>0</v>
      </c>
      <c r="R686" s="11">
        <f>IF(AG686="1",G686,0)</f>
        <v>0</v>
      </c>
      <c r="S686" s="11">
        <f>IF(AG686="1",H686,0)</f>
        <v>0</v>
      </c>
      <c r="T686" s="11">
        <f>IF(AG686="7",G686,0)</f>
        <v>0</v>
      </c>
      <c r="U686" s="11">
        <f>IF(AG686="7",H686,0)</f>
        <v>0</v>
      </c>
      <c r="V686" s="11">
        <f>IF(AG686="2",G686,0)</f>
        <v>0</v>
      </c>
      <c r="W686" s="11">
        <f>IF(AG686="2",H686,0)</f>
        <v>0</v>
      </c>
      <c r="X686" s="11">
        <f>IF(AG686="0",I686,0)</f>
        <v>0</v>
      </c>
      <c r="Y686" s="6"/>
      <c r="Z686" s="4">
        <f>IF(AD686=0,I686,0)</f>
        <v>0</v>
      </c>
      <c r="AA686" s="4">
        <f>IF(AD686=15,I686,0)</f>
        <v>0</v>
      </c>
      <c r="AB686" s="4">
        <f>IF(AD686=21,I686,0)</f>
        <v>0</v>
      </c>
      <c r="AD686" s="11">
        <v>21</v>
      </c>
      <c r="AE686" s="11">
        <f>F686*0.0157493421052632</f>
        <v>0</v>
      </c>
      <c r="AF686" s="11">
        <f>F686*(1-0.0157493421052632)</f>
        <v>0</v>
      </c>
      <c r="AG686" s="7" t="s">
        <v>498</v>
      </c>
      <c r="AM686" s="11">
        <f>E686*AE686</f>
        <v>0</v>
      </c>
      <c r="AN686" s="11">
        <f>E686*AF686</f>
        <v>0</v>
      </c>
      <c r="AO686" s="12" t="s">
        <v>216</v>
      </c>
      <c r="AP686" s="12" t="s">
        <v>233</v>
      </c>
      <c r="AQ686" s="6" t="s">
        <v>234</v>
      </c>
      <c r="AS686" s="11">
        <f>AM686+AN686</f>
        <v>0</v>
      </c>
      <c r="AT686" s="11">
        <f>F686/(100-AU686)*100</f>
        <v>0</v>
      </c>
      <c r="AU686" s="11">
        <v>0</v>
      </c>
      <c r="AV686" s="11">
        <f>K686</f>
        <v>0.5</v>
      </c>
    </row>
    <row r="687" spans="1:14" ht="12.75">
      <c r="A687" s="39"/>
      <c r="B687" s="39"/>
      <c r="C687" s="63" t="s">
        <v>498</v>
      </c>
      <c r="D687" s="39"/>
      <c r="E687" s="64">
        <v>1</v>
      </c>
      <c r="F687" s="39"/>
      <c r="G687" s="39"/>
      <c r="H687" s="39"/>
      <c r="I687" s="39"/>
      <c r="J687" s="39"/>
      <c r="K687" s="39"/>
      <c r="L687" s="39"/>
      <c r="M687" s="39"/>
      <c r="N687" s="39"/>
    </row>
    <row r="688" spans="1:14" ht="12.75">
      <c r="A688" s="39"/>
      <c r="B688" s="65" t="s">
        <v>872</v>
      </c>
      <c r="C688" s="303" t="s">
        <v>91</v>
      </c>
      <c r="D688" s="304"/>
      <c r="E688" s="304"/>
      <c r="F688" s="304"/>
      <c r="G688" s="304"/>
      <c r="H688" s="304"/>
      <c r="I688" s="304"/>
      <c r="J688" s="304"/>
      <c r="K688" s="304"/>
      <c r="L688" s="304"/>
      <c r="M688" s="39"/>
      <c r="N688" s="39"/>
    </row>
    <row r="689" spans="1:48" ht="12.75">
      <c r="A689" s="59" t="s">
        <v>846</v>
      </c>
      <c r="B689" s="59" t="s">
        <v>1230</v>
      </c>
      <c r="C689" s="59" t="s">
        <v>92</v>
      </c>
      <c r="D689" s="59" t="s">
        <v>143</v>
      </c>
      <c r="E689" s="60">
        <v>298.64</v>
      </c>
      <c r="F689" s="61"/>
      <c r="G689" s="61">
        <f>E689*AE689</f>
        <v>0</v>
      </c>
      <c r="H689" s="61">
        <f>I689-G689</f>
        <v>0</v>
      </c>
      <c r="I689" s="61">
        <f>E689*F689</f>
        <v>0</v>
      </c>
      <c r="J689" s="61">
        <v>0</v>
      </c>
      <c r="K689" s="61">
        <f>E689*J689</f>
        <v>0</v>
      </c>
      <c r="L689" s="62" t="s">
        <v>170</v>
      </c>
      <c r="M689" s="39"/>
      <c r="N689" s="39"/>
      <c r="P689" s="11">
        <f>IF(AG689="5",I689,0)</f>
        <v>0</v>
      </c>
      <c r="R689" s="11">
        <f>IF(AG689="1",G689,0)</f>
        <v>0</v>
      </c>
      <c r="S689" s="11">
        <f>IF(AG689="1",H689,0)</f>
        <v>0</v>
      </c>
      <c r="T689" s="11">
        <f>IF(AG689="7",G689,0)</f>
        <v>0</v>
      </c>
      <c r="U689" s="11">
        <f>IF(AG689="7",H689,0)</f>
        <v>0</v>
      </c>
      <c r="V689" s="11">
        <f>IF(AG689="2",G689,0)</f>
        <v>0</v>
      </c>
      <c r="W689" s="11">
        <f>IF(AG689="2",H689,0)</f>
        <v>0</v>
      </c>
      <c r="X689" s="11">
        <f>IF(AG689="0",I689,0)</f>
        <v>0</v>
      </c>
      <c r="Y689" s="6"/>
      <c r="Z689" s="4">
        <f>IF(AD689=0,I689,0)</f>
        <v>0</v>
      </c>
      <c r="AA689" s="4">
        <f>IF(AD689=15,I689,0)</f>
        <v>0</v>
      </c>
      <c r="AB689" s="4">
        <f>IF(AD689=21,I689,0)</f>
        <v>0</v>
      </c>
      <c r="AD689" s="11">
        <v>21</v>
      </c>
      <c r="AE689" s="11">
        <f>F689*0</f>
        <v>0</v>
      </c>
      <c r="AF689" s="11">
        <f>F689*(1-0)</f>
        <v>0</v>
      </c>
      <c r="AG689" s="7" t="s">
        <v>502</v>
      </c>
      <c r="AM689" s="11">
        <f>E689*AE689</f>
        <v>0</v>
      </c>
      <c r="AN689" s="11">
        <f>E689*AF689</f>
        <v>0</v>
      </c>
      <c r="AO689" s="12" t="s">
        <v>216</v>
      </c>
      <c r="AP689" s="12" t="s">
        <v>233</v>
      </c>
      <c r="AQ689" s="6" t="s">
        <v>234</v>
      </c>
      <c r="AS689" s="11">
        <f>AM689+AN689</f>
        <v>0</v>
      </c>
      <c r="AT689" s="11">
        <f>F689/(100-AU689)*100</f>
        <v>0</v>
      </c>
      <c r="AU689" s="11">
        <v>0</v>
      </c>
      <c r="AV689" s="11">
        <f>K689</f>
        <v>0</v>
      </c>
    </row>
    <row r="690" spans="1:37" ht="12.75">
      <c r="A690" s="66"/>
      <c r="B690" s="67" t="s">
        <v>593</v>
      </c>
      <c r="C690" s="305" t="s">
        <v>93</v>
      </c>
      <c r="D690" s="306"/>
      <c r="E690" s="306"/>
      <c r="F690" s="306"/>
      <c r="G690" s="68">
        <f>SUM(G691:G730)</f>
        <v>0</v>
      </c>
      <c r="H690" s="68">
        <f>SUM(H691:H730)</f>
        <v>0</v>
      </c>
      <c r="I690" s="68">
        <f>G690+H690</f>
        <v>0</v>
      </c>
      <c r="J690" s="69"/>
      <c r="K690" s="68">
        <f>SUM(K691:K730)</f>
        <v>100.78821773000003</v>
      </c>
      <c r="L690" s="69"/>
      <c r="M690" s="39"/>
      <c r="N690" s="39"/>
      <c r="Y690" s="6"/>
      <c r="AI690" s="13">
        <f>SUM(Z691:Z730)</f>
        <v>0</v>
      </c>
      <c r="AJ690" s="13">
        <f>SUM(AA691:AA730)</f>
        <v>0</v>
      </c>
      <c r="AK690" s="13">
        <f>SUM(AB691:AB730)</f>
        <v>0</v>
      </c>
    </row>
    <row r="691" spans="1:48" ht="12.75">
      <c r="A691" s="59" t="s">
        <v>847</v>
      </c>
      <c r="B691" s="59" t="s">
        <v>1231</v>
      </c>
      <c r="C691" s="59" t="s">
        <v>94</v>
      </c>
      <c r="D691" s="59" t="s">
        <v>141</v>
      </c>
      <c r="E691" s="60">
        <v>1.229</v>
      </c>
      <c r="F691" s="61"/>
      <c r="G691" s="61">
        <f>E691*AE691</f>
        <v>0</v>
      </c>
      <c r="H691" s="61">
        <f>I691-G691</f>
        <v>0</v>
      </c>
      <c r="I691" s="61">
        <f>E691*F691</f>
        <v>0</v>
      </c>
      <c r="J691" s="61">
        <v>2.2</v>
      </c>
      <c r="K691" s="61">
        <f>E691*J691</f>
        <v>2.7038</v>
      </c>
      <c r="L691" s="62" t="s">
        <v>170</v>
      </c>
      <c r="M691" s="39"/>
      <c r="N691" s="39"/>
      <c r="P691" s="11">
        <f>IF(AG691="5",I691,0)</f>
        <v>0</v>
      </c>
      <c r="R691" s="11">
        <f>IF(AG691="1",G691,0)</f>
        <v>0</v>
      </c>
      <c r="S691" s="11">
        <f>IF(AG691="1",H691,0)</f>
        <v>0</v>
      </c>
      <c r="T691" s="11">
        <f>IF(AG691="7",G691,0)</f>
        <v>0</v>
      </c>
      <c r="U691" s="11">
        <f>IF(AG691="7",H691,0)</f>
        <v>0</v>
      </c>
      <c r="V691" s="11">
        <f>IF(AG691="2",G691,0)</f>
        <v>0</v>
      </c>
      <c r="W691" s="11">
        <f>IF(AG691="2",H691,0)</f>
        <v>0</v>
      </c>
      <c r="X691" s="11">
        <f>IF(AG691="0",I691,0)</f>
        <v>0</v>
      </c>
      <c r="Y691" s="6"/>
      <c r="Z691" s="4">
        <f>IF(AD691=0,I691,0)</f>
        <v>0</v>
      </c>
      <c r="AA691" s="4">
        <f>IF(AD691=15,I691,0)</f>
        <v>0</v>
      </c>
      <c r="AB691" s="4">
        <f>IF(AD691=21,I691,0)</f>
        <v>0</v>
      </c>
      <c r="AD691" s="11">
        <v>21</v>
      </c>
      <c r="AE691" s="11">
        <f>F691*0</f>
        <v>0</v>
      </c>
      <c r="AF691" s="11">
        <f>F691*(1-0)</f>
        <v>0</v>
      </c>
      <c r="AG691" s="7" t="s">
        <v>498</v>
      </c>
      <c r="AM691" s="11">
        <f>E691*AE691</f>
        <v>0</v>
      </c>
      <c r="AN691" s="11">
        <f>E691*AF691</f>
        <v>0</v>
      </c>
      <c r="AO691" s="12" t="s">
        <v>217</v>
      </c>
      <c r="AP691" s="12" t="s">
        <v>233</v>
      </c>
      <c r="AQ691" s="6" t="s">
        <v>234</v>
      </c>
      <c r="AS691" s="11">
        <f>AM691+AN691</f>
        <v>0</v>
      </c>
      <c r="AT691" s="11">
        <f>F691/(100-AU691)*100</f>
        <v>0</v>
      </c>
      <c r="AU691" s="11">
        <v>0</v>
      </c>
      <c r="AV691" s="11">
        <f>K691</f>
        <v>2.7038</v>
      </c>
    </row>
    <row r="692" spans="1:14" ht="12.75">
      <c r="A692" s="39"/>
      <c r="B692" s="39"/>
      <c r="C692" s="63" t="s">
        <v>95</v>
      </c>
      <c r="D692" s="39"/>
      <c r="E692" s="64">
        <v>1.229</v>
      </c>
      <c r="F692" s="39"/>
      <c r="G692" s="39"/>
      <c r="H692" s="39"/>
      <c r="I692" s="39"/>
      <c r="J692" s="39"/>
      <c r="K692" s="39"/>
      <c r="L692" s="39"/>
      <c r="M692" s="39"/>
      <c r="N692" s="39"/>
    </row>
    <row r="693" spans="1:48" ht="12.75">
      <c r="A693" s="59" t="s">
        <v>848</v>
      </c>
      <c r="B693" s="59" t="s">
        <v>1232</v>
      </c>
      <c r="C693" s="59" t="s">
        <v>96</v>
      </c>
      <c r="D693" s="59" t="s">
        <v>141</v>
      </c>
      <c r="E693" s="60">
        <v>0.922</v>
      </c>
      <c r="F693" s="61"/>
      <c r="G693" s="61">
        <f>E693*AE693</f>
        <v>0</v>
      </c>
      <c r="H693" s="61">
        <f>I693-G693</f>
        <v>0</v>
      </c>
      <c r="I693" s="61">
        <f>E693*F693</f>
        <v>0</v>
      </c>
      <c r="J693" s="61">
        <v>1.4</v>
      </c>
      <c r="K693" s="61">
        <f>E693*J693</f>
        <v>1.2908</v>
      </c>
      <c r="L693" s="62" t="s">
        <v>170</v>
      </c>
      <c r="M693" s="39"/>
      <c r="N693" s="39"/>
      <c r="P693" s="11">
        <f>IF(AG693="5",I693,0)</f>
        <v>0</v>
      </c>
      <c r="R693" s="11">
        <f>IF(AG693="1",G693,0)</f>
        <v>0</v>
      </c>
      <c r="S693" s="11">
        <f>IF(AG693="1",H693,0)</f>
        <v>0</v>
      </c>
      <c r="T693" s="11">
        <f>IF(AG693="7",G693,0)</f>
        <v>0</v>
      </c>
      <c r="U693" s="11">
        <f>IF(AG693="7",H693,0)</f>
        <v>0</v>
      </c>
      <c r="V693" s="11">
        <f>IF(AG693="2",G693,0)</f>
        <v>0</v>
      </c>
      <c r="W693" s="11">
        <f>IF(AG693="2",H693,0)</f>
        <v>0</v>
      </c>
      <c r="X693" s="11">
        <f>IF(AG693="0",I693,0)</f>
        <v>0</v>
      </c>
      <c r="Y693" s="6"/>
      <c r="Z693" s="4">
        <f>IF(AD693=0,I693,0)</f>
        <v>0</v>
      </c>
      <c r="AA693" s="4">
        <f>IF(AD693=15,I693,0)</f>
        <v>0</v>
      </c>
      <c r="AB693" s="4">
        <f>IF(AD693=21,I693,0)</f>
        <v>0</v>
      </c>
      <c r="AD693" s="11">
        <v>21</v>
      </c>
      <c r="AE693" s="11">
        <f>F693*0</f>
        <v>0</v>
      </c>
      <c r="AF693" s="11">
        <f>F693*(1-0)</f>
        <v>0</v>
      </c>
      <c r="AG693" s="7" t="s">
        <v>498</v>
      </c>
      <c r="AM693" s="11">
        <f>E693*AE693</f>
        <v>0</v>
      </c>
      <c r="AN693" s="11">
        <f>E693*AF693</f>
        <v>0</v>
      </c>
      <c r="AO693" s="12" t="s">
        <v>217</v>
      </c>
      <c r="AP693" s="12" t="s">
        <v>233</v>
      </c>
      <c r="AQ693" s="6" t="s">
        <v>234</v>
      </c>
      <c r="AS693" s="11">
        <f>AM693+AN693</f>
        <v>0</v>
      </c>
      <c r="AT693" s="11">
        <f>F693/(100-AU693)*100</f>
        <v>0</v>
      </c>
      <c r="AU693" s="11">
        <v>0</v>
      </c>
      <c r="AV693" s="11">
        <f>K693</f>
        <v>1.2908</v>
      </c>
    </row>
    <row r="694" spans="1:14" ht="12.75">
      <c r="A694" s="39"/>
      <c r="B694" s="39"/>
      <c r="C694" s="63" t="s">
        <v>97</v>
      </c>
      <c r="D694" s="39"/>
      <c r="E694" s="64">
        <v>0.922</v>
      </c>
      <c r="F694" s="39"/>
      <c r="G694" s="39"/>
      <c r="H694" s="39"/>
      <c r="I694" s="39"/>
      <c r="J694" s="39"/>
      <c r="K694" s="39"/>
      <c r="L694" s="39"/>
      <c r="M694" s="39"/>
      <c r="N694" s="39"/>
    </row>
    <row r="695" spans="1:48" ht="12.75">
      <c r="A695" s="59" t="s">
        <v>849</v>
      </c>
      <c r="B695" s="59" t="s">
        <v>1233</v>
      </c>
      <c r="C695" s="59" t="s">
        <v>98</v>
      </c>
      <c r="D695" s="59" t="s">
        <v>141</v>
      </c>
      <c r="E695" s="60">
        <v>27.821</v>
      </c>
      <c r="F695" s="61"/>
      <c r="G695" s="61">
        <f>E695*AE695</f>
        <v>0</v>
      </c>
      <c r="H695" s="61">
        <f>I695-G695</f>
        <v>0</v>
      </c>
      <c r="I695" s="61">
        <f>E695*F695</f>
        <v>0</v>
      </c>
      <c r="J695" s="61">
        <v>2.2</v>
      </c>
      <c r="K695" s="61">
        <f>E695*J695</f>
        <v>61.20620000000001</v>
      </c>
      <c r="L695" s="62" t="s">
        <v>170</v>
      </c>
      <c r="M695" s="39"/>
      <c r="N695" s="39"/>
      <c r="P695" s="11">
        <f>IF(AG695="5",I695,0)</f>
        <v>0</v>
      </c>
      <c r="R695" s="11">
        <f>IF(AG695="1",G695,0)</f>
        <v>0</v>
      </c>
      <c r="S695" s="11">
        <f>IF(AG695="1",H695,0)</f>
        <v>0</v>
      </c>
      <c r="T695" s="11">
        <f>IF(AG695="7",G695,0)</f>
        <v>0</v>
      </c>
      <c r="U695" s="11">
        <f>IF(AG695="7",H695,0)</f>
        <v>0</v>
      </c>
      <c r="V695" s="11">
        <f>IF(AG695="2",G695,0)</f>
        <v>0</v>
      </c>
      <c r="W695" s="11">
        <f>IF(AG695="2",H695,0)</f>
        <v>0</v>
      </c>
      <c r="X695" s="11">
        <f>IF(AG695="0",I695,0)</f>
        <v>0</v>
      </c>
      <c r="Y695" s="6"/>
      <c r="Z695" s="4">
        <f>IF(AD695=0,I695,0)</f>
        <v>0</v>
      </c>
      <c r="AA695" s="4">
        <f>IF(AD695=15,I695,0)</f>
        <v>0</v>
      </c>
      <c r="AB695" s="4">
        <f>IF(AD695=21,I695,0)</f>
        <v>0</v>
      </c>
      <c r="AD695" s="11">
        <v>21</v>
      </c>
      <c r="AE695" s="11">
        <f>F695*0</f>
        <v>0</v>
      </c>
      <c r="AF695" s="11">
        <f>F695*(1-0)</f>
        <v>0</v>
      </c>
      <c r="AG695" s="7" t="s">
        <v>498</v>
      </c>
      <c r="AM695" s="11">
        <f>E695*AE695</f>
        <v>0</v>
      </c>
      <c r="AN695" s="11">
        <f>E695*AF695</f>
        <v>0</v>
      </c>
      <c r="AO695" s="12" t="s">
        <v>217</v>
      </c>
      <c r="AP695" s="12" t="s">
        <v>233</v>
      </c>
      <c r="AQ695" s="6" t="s">
        <v>234</v>
      </c>
      <c r="AS695" s="11">
        <f>AM695+AN695</f>
        <v>0</v>
      </c>
      <c r="AT695" s="11">
        <f>F695/(100-AU695)*100</f>
        <v>0</v>
      </c>
      <c r="AU695" s="11">
        <v>0</v>
      </c>
      <c r="AV695" s="11">
        <f>K695</f>
        <v>61.20620000000001</v>
      </c>
    </row>
    <row r="696" spans="1:14" ht="12.75">
      <c r="A696" s="39"/>
      <c r="B696" s="39"/>
      <c r="C696" s="63" t="s">
        <v>99</v>
      </c>
      <c r="D696" s="39"/>
      <c r="E696" s="64">
        <v>27.821</v>
      </c>
      <c r="F696" s="39"/>
      <c r="G696" s="39"/>
      <c r="H696" s="39"/>
      <c r="I696" s="39"/>
      <c r="J696" s="39"/>
      <c r="K696" s="39"/>
      <c r="L696" s="39"/>
      <c r="M696" s="39"/>
      <c r="N696" s="39"/>
    </row>
    <row r="697" spans="1:48" ht="12.75">
      <c r="A697" s="59" t="s">
        <v>850</v>
      </c>
      <c r="B697" s="59" t="s">
        <v>1234</v>
      </c>
      <c r="C697" s="59" t="s">
        <v>100</v>
      </c>
      <c r="D697" s="59" t="s">
        <v>141</v>
      </c>
      <c r="E697" s="60">
        <v>2.257</v>
      </c>
      <c r="F697" s="61"/>
      <c r="G697" s="61">
        <f>E697*AE697</f>
        <v>0</v>
      </c>
      <c r="H697" s="61">
        <f>I697-G697</f>
        <v>0</v>
      </c>
      <c r="I697" s="61">
        <f>E697*F697</f>
        <v>0</v>
      </c>
      <c r="J697" s="61">
        <v>2.41249</v>
      </c>
      <c r="K697" s="61">
        <f>E697*J697</f>
        <v>5.44498993</v>
      </c>
      <c r="L697" s="62" t="s">
        <v>170</v>
      </c>
      <c r="M697" s="39"/>
      <c r="N697" s="39"/>
      <c r="P697" s="11">
        <f>IF(AG697="5",I697,0)</f>
        <v>0</v>
      </c>
      <c r="R697" s="11">
        <f>IF(AG697="1",G697,0)</f>
        <v>0</v>
      </c>
      <c r="S697" s="11">
        <f>IF(AG697="1",H697,0)</f>
        <v>0</v>
      </c>
      <c r="T697" s="11">
        <f>IF(AG697="7",G697,0)</f>
        <v>0</v>
      </c>
      <c r="U697" s="11">
        <f>IF(AG697="7",H697,0)</f>
        <v>0</v>
      </c>
      <c r="V697" s="11">
        <f>IF(AG697="2",G697,0)</f>
        <v>0</v>
      </c>
      <c r="W697" s="11">
        <f>IF(AG697="2",H697,0)</f>
        <v>0</v>
      </c>
      <c r="X697" s="11">
        <f>IF(AG697="0",I697,0)</f>
        <v>0</v>
      </c>
      <c r="Y697" s="6"/>
      <c r="Z697" s="4">
        <f>IF(AD697=0,I697,0)</f>
        <v>0</v>
      </c>
      <c r="AA697" s="4">
        <f>IF(AD697=15,I697,0)</f>
        <v>0</v>
      </c>
      <c r="AB697" s="4">
        <f>IF(AD697=21,I697,0)</f>
        <v>0</v>
      </c>
      <c r="AD697" s="11">
        <v>21</v>
      </c>
      <c r="AE697" s="11">
        <f>F697*0.0505821276595745</f>
        <v>0</v>
      </c>
      <c r="AF697" s="11">
        <f>F697*(1-0.0505821276595745)</f>
        <v>0</v>
      </c>
      <c r="AG697" s="7" t="s">
        <v>498</v>
      </c>
      <c r="AM697" s="11">
        <f>E697*AE697</f>
        <v>0</v>
      </c>
      <c r="AN697" s="11">
        <f>E697*AF697</f>
        <v>0</v>
      </c>
      <c r="AO697" s="12" t="s">
        <v>217</v>
      </c>
      <c r="AP697" s="12" t="s">
        <v>233</v>
      </c>
      <c r="AQ697" s="6" t="s">
        <v>234</v>
      </c>
      <c r="AS697" s="11">
        <f>AM697+AN697</f>
        <v>0</v>
      </c>
      <c r="AT697" s="11">
        <f>F697/(100-AU697)*100</f>
        <v>0</v>
      </c>
      <c r="AU697" s="11">
        <v>0</v>
      </c>
      <c r="AV697" s="11">
        <f>K697</f>
        <v>5.44498993</v>
      </c>
    </row>
    <row r="698" spans="1:14" ht="12.75">
      <c r="A698" s="39"/>
      <c r="B698" s="39"/>
      <c r="C698" s="63" t="s">
        <v>101</v>
      </c>
      <c r="D698" s="39"/>
      <c r="E698" s="64">
        <v>2.257</v>
      </c>
      <c r="F698" s="39"/>
      <c r="G698" s="39"/>
      <c r="H698" s="39"/>
      <c r="I698" s="39"/>
      <c r="J698" s="39"/>
      <c r="K698" s="39"/>
      <c r="L698" s="39"/>
      <c r="M698" s="39"/>
      <c r="N698" s="39"/>
    </row>
    <row r="699" spans="1:48" ht="12.75">
      <c r="A699" s="59" t="s">
        <v>851</v>
      </c>
      <c r="B699" s="59" t="s">
        <v>1235</v>
      </c>
      <c r="C699" s="59" t="s">
        <v>102</v>
      </c>
      <c r="D699" s="59" t="s">
        <v>141</v>
      </c>
      <c r="E699" s="60">
        <v>0.162</v>
      </c>
      <c r="F699" s="61"/>
      <c r="G699" s="61">
        <f>E699*AE699</f>
        <v>0</v>
      </c>
      <c r="H699" s="61">
        <f>I699-G699</f>
        <v>0</v>
      </c>
      <c r="I699" s="61">
        <f>E699*F699</f>
        <v>0</v>
      </c>
      <c r="J699" s="61">
        <v>1.80128</v>
      </c>
      <c r="K699" s="61">
        <f>E699*J699</f>
        <v>0.29180736</v>
      </c>
      <c r="L699" s="62" t="s">
        <v>170</v>
      </c>
      <c r="M699" s="39"/>
      <c r="N699" s="39"/>
      <c r="P699" s="11">
        <f>IF(AG699="5",I699,0)</f>
        <v>0</v>
      </c>
      <c r="R699" s="11">
        <f>IF(AG699="1",G699,0)</f>
        <v>0</v>
      </c>
      <c r="S699" s="11">
        <f>IF(AG699="1",H699,0)</f>
        <v>0</v>
      </c>
      <c r="T699" s="11">
        <f>IF(AG699="7",G699,0)</f>
        <v>0</v>
      </c>
      <c r="U699" s="11">
        <f>IF(AG699="7",H699,0)</f>
        <v>0</v>
      </c>
      <c r="V699" s="11">
        <f>IF(AG699="2",G699,0)</f>
        <v>0</v>
      </c>
      <c r="W699" s="11">
        <f>IF(AG699="2",H699,0)</f>
        <v>0</v>
      </c>
      <c r="X699" s="11">
        <f>IF(AG699="0",I699,0)</f>
        <v>0</v>
      </c>
      <c r="Y699" s="6"/>
      <c r="Z699" s="4">
        <f>IF(AD699=0,I699,0)</f>
        <v>0</v>
      </c>
      <c r="AA699" s="4">
        <f>IF(AD699=15,I699,0)</f>
        <v>0</v>
      </c>
      <c r="AB699" s="4">
        <f>IF(AD699=21,I699,0)</f>
        <v>0</v>
      </c>
      <c r="AD699" s="11">
        <v>21</v>
      </c>
      <c r="AE699" s="11">
        <f>F699*0.048656</f>
        <v>0</v>
      </c>
      <c r="AF699" s="11">
        <f>F699*(1-0.048656)</f>
        <v>0</v>
      </c>
      <c r="AG699" s="7" t="s">
        <v>498</v>
      </c>
      <c r="AM699" s="11">
        <f>E699*AE699</f>
        <v>0</v>
      </c>
      <c r="AN699" s="11">
        <f>E699*AF699</f>
        <v>0</v>
      </c>
      <c r="AO699" s="12" t="s">
        <v>217</v>
      </c>
      <c r="AP699" s="12" t="s">
        <v>233</v>
      </c>
      <c r="AQ699" s="6" t="s">
        <v>234</v>
      </c>
      <c r="AS699" s="11">
        <f>AM699+AN699</f>
        <v>0</v>
      </c>
      <c r="AT699" s="11">
        <f>F699/(100-AU699)*100</f>
        <v>0</v>
      </c>
      <c r="AU699" s="11">
        <v>0</v>
      </c>
      <c r="AV699" s="11">
        <f>K699</f>
        <v>0.29180736</v>
      </c>
    </row>
    <row r="700" spans="1:14" ht="12.75">
      <c r="A700" s="39"/>
      <c r="B700" s="39"/>
      <c r="C700" s="63" t="s">
        <v>103</v>
      </c>
      <c r="D700" s="39"/>
      <c r="E700" s="64">
        <v>0.162</v>
      </c>
      <c r="F700" s="39"/>
      <c r="G700" s="39"/>
      <c r="H700" s="39"/>
      <c r="I700" s="39"/>
      <c r="J700" s="39"/>
      <c r="K700" s="39"/>
      <c r="L700" s="39"/>
      <c r="M700" s="39"/>
      <c r="N700" s="39"/>
    </row>
    <row r="701" spans="1:48" ht="12.75">
      <c r="A701" s="59" t="s">
        <v>852</v>
      </c>
      <c r="B701" s="59" t="s">
        <v>1236</v>
      </c>
      <c r="C701" s="59" t="s">
        <v>104</v>
      </c>
      <c r="D701" s="59" t="s">
        <v>141</v>
      </c>
      <c r="E701" s="60">
        <v>12.651</v>
      </c>
      <c r="F701" s="61"/>
      <c r="G701" s="61">
        <f>E701*AE701</f>
        <v>0</v>
      </c>
      <c r="H701" s="61">
        <f>I701-G701</f>
        <v>0</v>
      </c>
      <c r="I701" s="61">
        <f>E701*F701</f>
        <v>0</v>
      </c>
      <c r="J701" s="61">
        <v>1.80182</v>
      </c>
      <c r="K701" s="61">
        <f>E701*J701</f>
        <v>22.79482482</v>
      </c>
      <c r="L701" s="62" t="s">
        <v>170</v>
      </c>
      <c r="M701" s="39"/>
      <c r="N701" s="39"/>
      <c r="P701" s="11">
        <f>IF(AG701="5",I701,0)</f>
        <v>0</v>
      </c>
      <c r="R701" s="11">
        <f>IF(AG701="1",G701,0)</f>
        <v>0</v>
      </c>
      <c r="S701" s="11">
        <f>IF(AG701="1",H701,0)</f>
        <v>0</v>
      </c>
      <c r="T701" s="11">
        <f>IF(AG701="7",G701,0)</f>
        <v>0</v>
      </c>
      <c r="U701" s="11">
        <f>IF(AG701="7",H701,0)</f>
        <v>0</v>
      </c>
      <c r="V701" s="11">
        <f>IF(AG701="2",G701,0)</f>
        <v>0</v>
      </c>
      <c r="W701" s="11">
        <f>IF(AG701="2",H701,0)</f>
        <v>0</v>
      </c>
      <c r="X701" s="11">
        <f>IF(AG701="0",I701,0)</f>
        <v>0</v>
      </c>
      <c r="Y701" s="6"/>
      <c r="Z701" s="4">
        <f>IF(AD701=0,I701,0)</f>
        <v>0</v>
      </c>
      <c r="AA701" s="4">
        <f>IF(AD701=15,I701,0)</f>
        <v>0</v>
      </c>
      <c r="AB701" s="4">
        <f>IF(AD701=21,I701,0)</f>
        <v>0</v>
      </c>
      <c r="AD701" s="11">
        <v>21</v>
      </c>
      <c r="AE701" s="11">
        <f>F701*0.043773965691221</f>
        <v>0</v>
      </c>
      <c r="AF701" s="11">
        <f>F701*(1-0.043773965691221)</f>
        <v>0</v>
      </c>
      <c r="AG701" s="7" t="s">
        <v>498</v>
      </c>
      <c r="AM701" s="11">
        <f>E701*AE701</f>
        <v>0</v>
      </c>
      <c r="AN701" s="11">
        <f>E701*AF701</f>
        <v>0</v>
      </c>
      <c r="AO701" s="12" t="s">
        <v>217</v>
      </c>
      <c r="AP701" s="12" t="s">
        <v>233</v>
      </c>
      <c r="AQ701" s="6" t="s">
        <v>234</v>
      </c>
      <c r="AS701" s="11">
        <f>AM701+AN701</f>
        <v>0</v>
      </c>
      <c r="AT701" s="11">
        <f>F701/(100-AU701)*100</f>
        <v>0</v>
      </c>
      <c r="AU701" s="11">
        <v>0</v>
      </c>
      <c r="AV701" s="11">
        <f>K701</f>
        <v>22.79482482</v>
      </c>
    </row>
    <row r="702" spans="1:14" ht="12.75">
      <c r="A702" s="39"/>
      <c r="B702" s="39"/>
      <c r="C702" s="63" t="s">
        <v>105</v>
      </c>
      <c r="D702" s="39"/>
      <c r="E702" s="64">
        <v>12.651</v>
      </c>
      <c r="F702" s="39"/>
      <c r="G702" s="39"/>
      <c r="H702" s="39"/>
      <c r="I702" s="39"/>
      <c r="J702" s="39"/>
      <c r="K702" s="39"/>
      <c r="L702" s="39"/>
      <c r="M702" s="39"/>
      <c r="N702" s="39"/>
    </row>
    <row r="703" spans="1:48" ht="12.75">
      <c r="A703" s="59" t="s">
        <v>853</v>
      </c>
      <c r="B703" s="59" t="s">
        <v>1237</v>
      </c>
      <c r="C703" s="59" t="s">
        <v>106</v>
      </c>
      <c r="D703" s="59" t="s">
        <v>144</v>
      </c>
      <c r="E703" s="60">
        <v>17</v>
      </c>
      <c r="F703" s="61"/>
      <c r="G703" s="61">
        <f>E703*AE703</f>
        <v>0</v>
      </c>
      <c r="H703" s="61">
        <f>I703-G703</f>
        <v>0</v>
      </c>
      <c r="I703" s="61">
        <f>E703*F703</f>
        <v>0</v>
      </c>
      <c r="J703" s="61">
        <v>0.03149</v>
      </c>
      <c r="K703" s="61">
        <f>E703*J703</f>
        <v>0.53533</v>
      </c>
      <c r="L703" s="62" t="s">
        <v>170</v>
      </c>
      <c r="M703" s="39"/>
      <c r="N703" s="39"/>
      <c r="P703" s="11">
        <f>IF(AG703="5",I703,0)</f>
        <v>0</v>
      </c>
      <c r="R703" s="11">
        <f>IF(AG703="1",G703,0)</f>
        <v>0</v>
      </c>
      <c r="S703" s="11">
        <f>IF(AG703="1",H703,0)</f>
        <v>0</v>
      </c>
      <c r="T703" s="11">
        <f>IF(AG703="7",G703,0)</f>
        <v>0</v>
      </c>
      <c r="U703" s="11">
        <f>IF(AG703="7",H703,0)</f>
        <v>0</v>
      </c>
      <c r="V703" s="11">
        <f>IF(AG703="2",G703,0)</f>
        <v>0</v>
      </c>
      <c r="W703" s="11">
        <f>IF(AG703="2",H703,0)</f>
        <v>0</v>
      </c>
      <c r="X703" s="11">
        <f>IF(AG703="0",I703,0)</f>
        <v>0</v>
      </c>
      <c r="Y703" s="6"/>
      <c r="Z703" s="4">
        <f>IF(AD703=0,I703,0)</f>
        <v>0</v>
      </c>
      <c r="AA703" s="4">
        <f>IF(AD703=15,I703,0)</f>
        <v>0</v>
      </c>
      <c r="AB703" s="4">
        <f>IF(AD703=21,I703,0)</f>
        <v>0</v>
      </c>
      <c r="AD703" s="11">
        <v>21</v>
      </c>
      <c r="AE703" s="11">
        <f>F703*0.0589420654911839</f>
        <v>0</v>
      </c>
      <c r="AF703" s="11">
        <f>F703*(1-0.0589420654911839)</f>
        <v>0</v>
      </c>
      <c r="AG703" s="7" t="s">
        <v>498</v>
      </c>
      <c r="AM703" s="11">
        <f>E703*AE703</f>
        <v>0</v>
      </c>
      <c r="AN703" s="11">
        <f>E703*AF703</f>
        <v>0</v>
      </c>
      <c r="AO703" s="12" t="s">
        <v>217</v>
      </c>
      <c r="AP703" s="12" t="s">
        <v>233</v>
      </c>
      <c r="AQ703" s="6" t="s">
        <v>234</v>
      </c>
      <c r="AS703" s="11">
        <f>AM703+AN703</f>
        <v>0</v>
      </c>
      <c r="AT703" s="11">
        <f>F703/(100-AU703)*100</f>
        <v>0</v>
      </c>
      <c r="AU703" s="11">
        <v>0</v>
      </c>
      <c r="AV703" s="11">
        <f>K703</f>
        <v>0.53533</v>
      </c>
    </row>
    <row r="704" spans="1:14" ht="12.75">
      <c r="A704" s="39"/>
      <c r="B704" s="39"/>
      <c r="C704" s="63" t="s">
        <v>514</v>
      </c>
      <c r="D704" s="39"/>
      <c r="E704" s="64">
        <v>17</v>
      </c>
      <c r="F704" s="39"/>
      <c r="G704" s="39"/>
      <c r="H704" s="39"/>
      <c r="I704" s="39"/>
      <c r="J704" s="39"/>
      <c r="K704" s="39"/>
      <c r="L704" s="39"/>
      <c r="M704" s="39"/>
      <c r="N704" s="39"/>
    </row>
    <row r="705" spans="1:48" ht="12.75">
      <c r="A705" s="59" t="s">
        <v>854</v>
      </c>
      <c r="B705" s="59" t="s">
        <v>1238</v>
      </c>
      <c r="C705" s="59" t="s">
        <v>107</v>
      </c>
      <c r="D705" s="59" t="s">
        <v>146</v>
      </c>
      <c r="E705" s="60">
        <v>10.4</v>
      </c>
      <c r="F705" s="61"/>
      <c r="G705" s="61">
        <f>E705*AE705</f>
        <v>0</v>
      </c>
      <c r="H705" s="61">
        <f>I705-G705</f>
        <v>0</v>
      </c>
      <c r="I705" s="61">
        <f>E705*F705</f>
        <v>0</v>
      </c>
      <c r="J705" s="61">
        <v>0.065</v>
      </c>
      <c r="K705" s="61">
        <f>E705*J705</f>
        <v>0.676</v>
      </c>
      <c r="L705" s="62" t="s">
        <v>170</v>
      </c>
      <c r="M705" s="39"/>
      <c r="N705" s="39"/>
      <c r="P705" s="11">
        <f>IF(AG705="5",I705,0)</f>
        <v>0</v>
      </c>
      <c r="R705" s="11">
        <f>IF(AG705="1",G705,0)</f>
        <v>0</v>
      </c>
      <c r="S705" s="11">
        <f>IF(AG705="1",H705,0)</f>
        <v>0</v>
      </c>
      <c r="T705" s="11">
        <f>IF(AG705="7",G705,0)</f>
        <v>0</v>
      </c>
      <c r="U705" s="11">
        <f>IF(AG705="7",H705,0)</f>
        <v>0</v>
      </c>
      <c r="V705" s="11">
        <f>IF(AG705="2",G705,0)</f>
        <v>0</v>
      </c>
      <c r="W705" s="11">
        <f>IF(AG705="2",H705,0)</f>
        <v>0</v>
      </c>
      <c r="X705" s="11">
        <f>IF(AG705="0",I705,0)</f>
        <v>0</v>
      </c>
      <c r="Y705" s="6"/>
      <c r="Z705" s="4">
        <f>IF(AD705=0,I705,0)</f>
        <v>0</v>
      </c>
      <c r="AA705" s="4">
        <f>IF(AD705=15,I705,0)</f>
        <v>0</v>
      </c>
      <c r="AB705" s="4">
        <f>IF(AD705=21,I705,0)</f>
        <v>0</v>
      </c>
      <c r="AD705" s="11">
        <v>21</v>
      </c>
      <c r="AE705" s="11">
        <f>F705*0</f>
        <v>0</v>
      </c>
      <c r="AF705" s="11">
        <f>F705*(1-0)</f>
        <v>0</v>
      </c>
      <c r="AG705" s="7" t="s">
        <v>498</v>
      </c>
      <c r="AM705" s="11">
        <f>E705*AE705</f>
        <v>0</v>
      </c>
      <c r="AN705" s="11">
        <f>E705*AF705</f>
        <v>0</v>
      </c>
      <c r="AO705" s="12" t="s">
        <v>217</v>
      </c>
      <c r="AP705" s="12" t="s">
        <v>233</v>
      </c>
      <c r="AQ705" s="6" t="s">
        <v>234</v>
      </c>
      <c r="AS705" s="11">
        <f>AM705+AN705</f>
        <v>0</v>
      </c>
      <c r="AT705" s="11">
        <f>F705/(100-AU705)*100</f>
        <v>0</v>
      </c>
      <c r="AU705" s="11">
        <v>0</v>
      </c>
      <c r="AV705" s="11">
        <f>K705</f>
        <v>0.676</v>
      </c>
    </row>
    <row r="706" spans="1:14" ht="12.75">
      <c r="A706" s="39"/>
      <c r="B706" s="39"/>
      <c r="C706" s="63" t="s">
        <v>108</v>
      </c>
      <c r="D706" s="39"/>
      <c r="E706" s="64">
        <v>10.4</v>
      </c>
      <c r="F706" s="39"/>
      <c r="G706" s="39"/>
      <c r="H706" s="39"/>
      <c r="I706" s="39"/>
      <c r="J706" s="39"/>
      <c r="K706" s="39"/>
      <c r="L706" s="39"/>
      <c r="M706" s="39"/>
      <c r="N706" s="39"/>
    </row>
    <row r="707" spans="1:48" ht="12.75">
      <c r="A707" s="59" t="s">
        <v>855</v>
      </c>
      <c r="B707" s="59" t="s">
        <v>1239</v>
      </c>
      <c r="C707" s="59" t="s">
        <v>109</v>
      </c>
      <c r="D707" s="59" t="s">
        <v>142</v>
      </c>
      <c r="E707" s="60">
        <v>374.707</v>
      </c>
      <c r="F707" s="61"/>
      <c r="G707" s="61">
        <f>E707*AE707</f>
        <v>0</v>
      </c>
      <c r="H707" s="61">
        <f>I707-G707</f>
        <v>0</v>
      </c>
      <c r="I707" s="61">
        <f>E707*F707</f>
        <v>0</v>
      </c>
      <c r="J707" s="61">
        <v>0.0001</v>
      </c>
      <c r="K707" s="61">
        <f>E707*J707</f>
        <v>0.0374707</v>
      </c>
      <c r="L707" s="62" t="s">
        <v>170</v>
      </c>
      <c r="M707" s="39"/>
      <c r="N707" s="39"/>
      <c r="P707" s="11">
        <f>IF(AG707="5",I707,0)</f>
        <v>0</v>
      </c>
      <c r="R707" s="11">
        <f>IF(AG707="1",G707,0)</f>
        <v>0</v>
      </c>
      <c r="S707" s="11">
        <f>IF(AG707="1",H707,0)</f>
        <v>0</v>
      </c>
      <c r="T707" s="11">
        <f>IF(AG707="7",G707,0)</f>
        <v>0</v>
      </c>
      <c r="U707" s="11">
        <f>IF(AG707="7",H707,0)</f>
        <v>0</v>
      </c>
      <c r="V707" s="11">
        <f>IF(AG707="2",G707,0)</f>
        <v>0</v>
      </c>
      <c r="W707" s="11">
        <f>IF(AG707="2",H707,0)</f>
        <v>0</v>
      </c>
      <c r="X707" s="11">
        <f>IF(AG707="0",I707,0)</f>
        <v>0</v>
      </c>
      <c r="Y707" s="6"/>
      <c r="Z707" s="4">
        <f>IF(AD707=0,I707,0)</f>
        <v>0</v>
      </c>
      <c r="AA707" s="4">
        <f>IF(AD707=15,I707,0)</f>
        <v>0</v>
      </c>
      <c r="AB707" s="4">
        <f>IF(AD707=21,I707,0)</f>
        <v>0</v>
      </c>
      <c r="AD707" s="11">
        <v>21</v>
      </c>
      <c r="AE707" s="11">
        <f>F707*0</f>
        <v>0</v>
      </c>
      <c r="AF707" s="11">
        <f>F707*(1-0)</f>
        <v>0</v>
      </c>
      <c r="AG707" s="7" t="s">
        <v>498</v>
      </c>
      <c r="AM707" s="11">
        <f>E707*AE707</f>
        <v>0</v>
      </c>
      <c r="AN707" s="11">
        <f>E707*AF707</f>
        <v>0</v>
      </c>
      <c r="AO707" s="12" t="s">
        <v>217</v>
      </c>
      <c r="AP707" s="12" t="s">
        <v>233</v>
      </c>
      <c r="AQ707" s="6" t="s">
        <v>234</v>
      </c>
      <c r="AS707" s="11">
        <f>AM707+AN707</f>
        <v>0</v>
      </c>
      <c r="AT707" s="11">
        <f>F707/(100-AU707)*100</f>
        <v>0</v>
      </c>
      <c r="AU707" s="11">
        <v>0</v>
      </c>
      <c r="AV707" s="11">
        <f>K707</f>
        <v>0.0374707</v>
      </c>
    </row>
    <row r="708" spans="1:14" ht="12.75">
      <c r="A708" s="39"/>
      <c r="B708" s="39"/>
      <c r="C708" s="63" t="s">
        <v>110</v>
      </c>
      <c r="D708" s="39"/>
      <c r="E708" s="64">
        <v>429.907</v>
      </c>
      <c r="F708" s="39"/>
      <c r="G708" s="39"/>
      <c r="H708" s="39"/>
      <c r="I708" s="39"/>
      <c r="J708" s="39"/>
      <c r="K708" s="39"/>
      <c r="L708" s="39"/>
      <c r="M708" s="39"/>
      <c r="N708" s="39"/>
    </row>
    <row r="709" spans="1:14" ht="12.75">
      <c r="A709" s="39"/>
      <c r="B709" s="39"/>
      <c r="C709" s="63" t="s">
        <v>111</v>
      </c>
      <c r="D709" s="39"/>
      <c r="E709" s="64">
        <v>-55.2</v>
      </c>
      <c r="F709" s="39"/>
      <c r="G709" s="39"/>
      <c r="H709" s="39"/>
      <c r="I709" s="39"/>
      <c r="J709" s="39"/>
      <c r="K709" s="39"/>
      <c r="L709" s="39"/>
      <c r="M709" s="39"/>
      <c r="N709" s="39"/>
    </row>
    <row r="710" spans="1:48" ht="12.75">
      <c r="A710" s="59" t="s">
        <v>856</v>
      </c>
      <c r="B710" s="59" t="s">
        <v>1240</v>
      </c>
      <c r="C710" s="59" t="s">
        <v>112</v>
      </c>
      <c r="D710" s="59" t="s">
        <v>142</v>
      </c>
      <c r="E710" s="60">
        <v>374.707</v>
      </c>
      <c r="F710" s="61"/>
      <c r="G710" s="61">
        <f>E710*AE710</f>
        <v>0</v>
      </c>
      <c r="H710" s="61">
        <f>I710-G710</f>
        <v>0</v>
      </c>
      <c r="I710" s="61">
        <f>E710*F710</f>
        <v>0</v>
      </c>
      <c r="J710" s="61">
        <v>0</v>
      </c>
      <c r="K710" s="61">
        <f>E710*J710</f>
        <v>0</v>
      </c>
      <c r="L710" s="62" t="s">
        <v>170</v>
      </c>
      <c r="M710" s="39"/>
      <c r="N710" s="39"/>
      <c r="P710" s="11">
        <f>IF(AG710="5",I710,0)</f>
        <v>0</v>
      </c>
      <c r="R710" s="11">
        <f>IF(AG710="1",G710,0)</f>
        <v>0</v>
      </c>
      <c r="S710" s="11">
        <f>IF(AG710="1",H710,0)</f>
        <v>0</v>
      </c>
      <c r="T710" s="11">
        <f>IF(AG710="7",G710,0)</f>
        <v>0</v>
      </c>
      <c r="U710" s="11">
        <f>IF(AG710="7",H710,0)</f>
        <v>0</v>
      </c>
      <c r="V710" s="11">
        <f>IF(AG710="2",G710,0)</f>
        <v>0</v>
      </c>
      <c r="W710" s="11">
        <f>IF(AG710="2",H710,0)</f>
        <v>0</v>
      </c>
      <c r="X710" s="11">
        <f>IF(AG710="0",I710,0)</f>
        <v>0</v>
      </c>
      <c r="Y710" s="6"/>
      <c r="Z710" s="4">
        <f>IF(AD710=0,I710,0)</f>
        <v>0</v>
      </c>
      <c r="AA710" s="4">
        <f>IF(AD710=15,I710,0)</f>
        <v>0</v>
      </c>
      <c r="AB710" s="4">
        <f>IF(AD710=21,I710,0)</f>
        <v>0</v>
      </c>
      <c r="AD710" s="11">
        <v>21</v>
      </c>
      <c r="AE710" s="11">
        <f>F710*0</f>
        <v>0</v>
      </c>
      <c r="AF710" s="11">
        <f>F710*(1-0)</f>
        <v>0</v>
      </c>
      <c r="AG710" s="7" t="s">
        <v>498</v>
      </c>
      <c r="AM710" s="11">
        <f>E710*AE710</f>
        <v>0</v>
      </c>
      <c r="AN710" s="11">
        <f>E710*AF710</f>
        <v>0</v>
      </c>
      <c r="AO710" s="12" t="s">
        <v>217</v>
      </c>
      <c r="AP710" s="12" t="s">
        <v>233</v>
      </c>
      <c r="AQ710" s="6" t="s">
        <v>234</v>
      </c>
      <c r="AS710" s="11">
        <f>AM710+AN710</f>
        <v>0</v>
      </c>
      <c r="AT710" s="11">
        <f>F710/(100-AU710)*100</f>
        <v>0</v>
      </c>
      <c r="AU710" s="11">
        <v>0</v>
      </c>
      <c r="AV710" s="11">
        <f>K710</f>
        <v>0</v>
      </c>
    </row>
    <row r="711" spans="1:14" ht="12.75">
      <c r="A711" s="39"/>
      <c r="B711" s="39"/>
      <c r="C711" s="63" t="s">
        <v>113</v>
      </c>
      <c r="D711" s="39"/>
      <c r="E711" s="64">
        <v>374.707</v>
      </c>
      <c r="F711" s="39"/>
      <c r="G711" s="39"/>
      <c r="H711" s="39"/>
      <c r="I711" s="39"/>
      <c r="J711" s="39"/>
      <c r="K711" s="39"/>
      <c r="L711" s="39"/>
      <c r="M711" s="39"/>
      <c r="N711" s="39"/>
    </row>
    <row r="712" spans="1:48" ht="12.75">
      <c r="A712" s="59" t="s">
        <v>857</v>
      </c>
      <c r="B712" s="59" t="s">
        <v>1241</v>
      </c>
      <c r="C712" s="59" t="s">
        <v>114</v>
      </c>
      <c r="D712" s="59" t="s">
        <v>142</v>
      </c>
      <c r="E712" s="60">
        <v>55.2</v>
      </c>
      <c r="F712" s="61"/>
      <c r="G712" s="61">
        <f>E712*AE712</f>
        <v>0</v>
      </c>
      <c r="H712" s="61">
        <f>I712-G712</f>
        <v>0</v>
      </c>
      <c r="I712" s="61">
        <f>E712*F712</f>
        <v>0</v>
      </c>
      <c r="J712" s="61">
        <v>0.046</v>
      </c>
      <c r="K712" s="61">
        <f>E712*J712</f>
        <v>2.5392</v>
      </c>
      <c r="L712" s="62" t="s">
        <v>170</v>
      </c>
      <c r="M712" s="39"/>
      <c r="N712" s="39"/>
      <c r="P712" s="11">
        <f>IF(AG712="5",I712,0)</f>
        <v>0</v>
      </c>
      <c r="R712" s="11">
        <f>IF(AG712="1",G712,0)</f>
        <v>0</v>
      </c>
      <c r="S712" s="11">
        <f>IF(AG712="1",H712,0)</f>
        <v>0</v>
      </c>
      <c r="T712" s="11">
        <f>IF(AG712="7",G712,0)</f>
        <v>0</v>
      </c>
      <c r="U712" s="11">
        <f>IF(AG712="7",H712,0)</f>
        <v>0</v>
      </c>
      <c r="V712" s="11">
        <f>IF(AG712="2",G712,0)</f>
        <v>0</v>
      </c>
      <c r="W712" s="11">
        <f>IF(AG712="2",H712,0)</f>
        <v>0</v>
      </c>
      <c r="X712" s="11">
        <f>IF(AG712="0",I712,0)</f>
        <v>0</v>
      </c>
      <c r="Y712" s="6"/>
      <c r="Z712" s="4">
        <f>IF(AD712=0,I712,0)</f>
        <v>0</v>
      </c>
      <c r="AA712" s="4">
        <f>IF(AD712=15,I712,0)</f>
        <v>0</v>
      </c>
      <c r="AB712" s="4">
        <f>IF(AD712=21,I712,0)</f>
        <v>0</v>
      </c>
      <c r="AD712" s="11">
        <v>21</v>
      </c>
      <c r="AE712" s="11">
        <f>F712*0</f>
        <v>0</v>
      </c>
      <c r="AF712" s="11">
        <f>F712*(1-0)</f>
        <v>0</v>
      </c>
      <c r="AG712" s="7" t="s">
        <v>498</v>
      </c>
      <c r="AM712" s="11">
        <f>E712*AE712</f>
        <v>0</v>
      </c>
      <c r="AN712" s="11">
        <f>E712*AF712</f>
        <v>0</v>
      </c>
      <c r="AO712" s="12" t="s">
        <v>217</v>
      </c>
      <c r="AP712" s="12" t="s">
        <v>233</v>
      </c>
      <c r="AQ712" s="6" t="s">
        <v>234</v>
      </c>
      <c r="AS712" s="11">
        <f>AM712+AN712</f>
        <v>0</v>
      </c>
      <c r="AT712" s="11">
        <f>F712/(100-AU712)*100</f>
        <v>0</v>
      </c>
      <c r="AU712" s="11">
        <v>0</v>
      </c>
      <c r="AV712" s="11">
        <f>K712</f>
        <v>2.5392</v>
      </c>
    </row>
    <row r="713" spans="1:14" ht="12.75">
      <c r="A713" s="39"/>
      <c r="B713" s="39"/>
      <c r="C713" s="63" t="s">
        <v>1415</v>
      </c>
      <c r="D713" s="39"/>
      <c r="E713" s="64">
        <v>55.2</v>
      </c>
      <c r="F713" s="39"/>
      <c r="G713" s="39"/>
      <c r="H713" s="39"/>
      <c r="I713" s="39"/>
      <c r="J713" s="39"/>
      <c r="K713" s="39"/>
      <c r="L713" s="39"/>
      <c r="M713" s="39"/>
      <c r="N713" s="39"/>
    </row>
    <row r="714" spans="1:48" ht="12.75">
      <c r="A714" s="59" t="s">
        <v>858</v>
      </c>
      <c r="B714" s="59" t="s">
        <v>1242</v>
      </c>
      <c r="C714" s="59" t="s">
        <v>115</v>
      </c>
      <c r="D714" s="59" t="s">
        <v>144</v>
      </c>
      <c r="E714" s="60">
        <v>36</v>
      </c>
      <c r="F714" s="61"/>
      <c r="G714" s="61">
        <f>E714*AE714</f>
        <v>0</v>
      </c>
      <c r="H714" s="61">
        <f>I714-G714</f>
        <v>0</v>
      </c>
      <c r="I714" s="61">
        <f>E714*F714</f>
        <v>0</v>
      </c>
      <c r="J714" s="61">
        <v>0</v>
      </c>
      <c r="K714" s="61">
        <f>E714*J714</f>
        <v>0</v>
      </c>
      <c r="L714" s="62" t="s">
        <v>170</v>
      </c>
      <c r="M714" s="39"/>
      <c r="N714" s="39"/>
      <c r="P714" s="11">
        <f>IF(AG714="5",I714,0)</f>
        <v>0</v>
      </c>
      <c r="R714" s="11">
        <f>IF(AG714="1",G714,0)</f>
        <v>0</v>
      </c>
      <c r="S714" s="11">
        <f>IF(AG714="1",H714,0)</f>
        <v>0</v>
      </c>
      <c r="T714" s="11">
        <f>IF(AG714="7",G714,0)</f>
        <v>0</v>
      </c>
      <c r="U714" s="11">
        <f>IF(AG714="7",H714,0)</f>
        <v>0</v>
      </c>
      <c r="V714" s="11">
        <f>IF(AG714="2",G714,0)</f>
        <v>0</v>
      </c>
      <c r="W714" s="11">
        <f>IF(AG714="2",H714,0)</f>
        <v>0</v>
      </c>
      <c r="X714" s="11">
        <f>IF(AG714="0",I714,0)</f>
        <v>0</v>
      </c>
      <c r="Y714" s="6"/>
      <c r="Z714" s="4">
        <f>IF(AD714=0,I714,0)</f>
        <v>0</v>
      </c>
      <c r="AA714" s="4">
        <f>IF(AD714=15,I714,0)</f>
        <v>0</v>
      </c>
      <c r="AB714" s="4">
        <f>IF(AD714=21,I714,0)</f>
        <v>0</v>
      </c>
      <c r="AD714" s="11">
        <v>21</v>
      </c>
      <c r="AE714" s="11">
        <f>F714*0</f>
        <v>0</v>
      </c>
      <c r="AF714" s="11">
        <f>F714*(1-0)</f>
        <v>0</v>
      </c>
      <c r="AG714" s="7" t="s">
        <v>498</v>
      </c>
      <c r="AM714" s="11">
        <f>E714*AE714</f>
        <v>0</v>
      </c>
      <c r="AN714" s="11">
        <f>E714*AF714</f>
        <v>0</v>
      </c>
      <c r="AO714" s="12" t="s">
        <v>217</v>
      </c>
      <c r="AP714" s="12" t="s">
        <v>233</v>
      </c>
      <c r="AQ714" s="6" t="s">
        <v>234</v>
      </c>
      <c r="AS714" s="11">
        <f>AM714+AN714</f>
        <v>0</v>
      </c>
      <c r="AT714" s="11">
        <f>F714/(100-AU714)*100</f>
        <v>0</v>
      </c>
      <c r="AU714" s="11">
        <v>0</v>
      </c>
      <c r="AV714" s="11">
        <f>K714</f>
        <v>0</v>
      </c>
    </row>
    <row r="715" spans="1:14" ht="12.75">
      <c r="A715" s="39"/>
      <c r="B715" s="39"/>
      <c r="C715" s="63" t="s">
        <v>533</v>
      </c>
      <c r="D715" s="39"/>
      <c r="E715" s="64">
        <v>36</v>
      </c>
      <c r="F715" s="39"/>
      <c r="G715" s="39"/>
      <c r="H715" s="39"/>
      <c r="I715" s="39"/>
      <c r="J715" s="39"/>
      <c r="K715" s="39"/>
      <c r="L715" s="39"/>
      <c r="M715" s="39"/>
      <c r="N715" s="39"/>
    </row>
    <row r="716" spans="1:48" ht="12.75">
      <c r="A716" s="59" t="s">
        <v>859</v>
      </c>
      <c r="B716" s="59" t="s">
        <v>1243</v>
      </c>
      <c r="C716" s="59" t="s">
        <v>116</v>
      </c>
      <c r="D716" s="59" t="s">
        <v>144</v>
      </c>
      <c r="E716" s="60">
        <v>3</v>
      </c>
      <c r="F716" s="61"/>
      <c r="G716" s="61">
        <f>E716*AE716</f>
        <v>0</v>
      </c>
      <c r="H716" s="61">
        <f>I716-G716</f>
        <v>0</v>
      </c>
      <c r="I716" s="61">
        <f>E716*F716</f>
        <v>0</v>
      </c>
      <c r="J716" s="61">
        <v>0</v>
      </c>
      <c r="K716" s="61">
        <f>E716*J716</f>
        <v>0</v>
      </c>
      <c r="L716" s="62" t="s">
        <v>170</v>
      </c>
      <c r="M716" s="39"/>
      <c r="N716" s="39"/>
      <c r="P716" s="11">
        <f>IF(AG716="5",I716,0)</f>
        <v>0</v>
      </c>
      <c r="R716" s="11">
        <f>IF(AG716="1",G716,0)</f>
        <v>0</v>
      </c>
      <c r="S716" s="11">
        <f>IF(AG716="1",H716,0)</f>
        <v>0</v>
      </c>
      <c r="T716" s="11">
        <f>IF(AG716="7",G716,0)</f>
        <v>0</v>
      </c>
      <c r="U716" s="11">
        <f>IF(AG716="7",H716,0)</f>
        <v>0</v>
      </c>
      <c r="V716" s="11">
        <f>IF(AG716="2",G716,0)</f>
        <v>0</v>
      </c>
      <c r="W716" s="11">
        <f>IF(AG716="2",H716,0)</f>
        <v>0</v>
      </c>
      <c r="X716" s="11">
        <f>IF(AG716="0",I716,0)</f>
        <v>0</v>
      </c>
      <c r="Y716" s="6"/>
      <c r="Z716" s="4">
        <f>IF(AD716=0,I716,0)</f>
        <v>0</v>
      </c>
      <c r="AA716" s="4">
        <f>IF(AD716=15,I716,0)</f>
        <v>0</v>
      </c>
      <c r="AB716" s="4">
        <f>IF(AD716=21,I716,0)</f>
        <v>0</v>
      </c>
      <c r="AD716" s="11">
        <v>21</v>
      </c>
      <c r="AE716" s="11">
        <f>F716*0</f>
        <v>0</v>
      </c>
      <c r="AF716" s="11">
        <f>F716*(1-0)</f>
        <v>0</v>
      </c>
      <c r="AG716" s="7" t="s">
        <v>498</v>
      </c>
      <c r="AM716" s="11">
        <f>E716*AE716</f>
        <v>0</v>
      </c>
      <c r="AN716" s="11">
        <f>E716*AF716</f>
        <v>0</v>
      </c>
      <c r="AO716" s="12" t="s">
        <v>217</v>
      </c>
      <c r="AP716" s="12" t="s">
        <v>233</v>
      </c>
      <c r="AQ716" s="6" t="s">
        <v>234</v>
      </c>
      <c r="AS716" s="11">
        <f>AM716+AN716</f>
        <v>0</v>
      </c>
      <c r="AT716" s="11">
        <f>F716/(100-AU716)*100</f>
        <v>0</v>
      </c>
      <c r="AU716" s="11">
        <v>0</v>
      </c>
      <c r="AV716" s="11">
        <f>K716</f>
        <v>0</v>
      </c>
    </row>
    <row r="717" spans="1:14" ht="12.75">
      <c r="A717" s="39"/>
      <c r="B717" s="39"/>
      <c r="C717" s="63" t="s">
        <v>500</v>
      </c>
      <c r="D717" s="39"/>
      <c r="E717" s="64">
        <v>3</v>
      </c>
      <c r="F717" s="39"/>
      <c r="G717" s="39"/>
      <c r="H717" s="39"/>
      <c r="I717" s="39"/>
      <c r="J717" s="39"/>
      <c r="K717" s="39"/>
      <c r="L717" s="39"/>
      <c r="M717" s="39"/>
      <c r="N717" s="39"/>
    </row>
    <row r="718" spans="1:48" ht="12.75">
      <c r="A718" s="59" t="s">
        <v>860</v>
      </c>
      <c r="B718" s="59" t="s">
        <v>1244</v>
      </c>
      <c r="C718" s="59" t="s">
        <v>117</v>
      </c>
      <c r="D718" s="59" t="s">
        <v>142</v>
      </c>
      <c r="E718" s="60">
        <v>42.091</v>
      </c>
      <c r="F718" s="61"/>
      <c r="G718" s="61">
        <f>E718*AE718</f>
        <v>0</v>
      </c>
      <c r="H718" s="61">
        <f>I718-G718</f>
        <v>0</v>
      </c>
      <c r="I718" s="61">
        <f>E718*F718</f>
        <v>0</v>
      </c>
      <c r="J718" s="61">
        <v>0.03461</v>
      </c>
      <c r="K718" s="61">
        <f>E718*J718</f>
        <v>1.4567695100000002</v>
      </c>
      <c r="L718" s="62" t="s">
        <v>170</v>
      </c>
      <c r="M718" s="39"/>
      <c r="N718" s="39"/>
      <c r="P718" s="11">
        <f>IF(AG718="5",I718,0)</f>
        <v>0</v>
      </c>
      <c r="R718" s="11">
        <f>IF(AG718="1",G718,0)</f>
        <v>0</v>
      </c>
      <c r="S718" s="11">
        <f>IF(AG718="1",H718,0)</f>
        <v>0</v>
      </c>
      <c r="T718" s="11">
        <f>IF(AG718="7",G718,0)</f>
        <v>0</v>
      </c>
      <c r="U718" s="11">
        <f>IF(AG718="7",H718,0)</f>
        <v>0</v>
      </c>
      <c r="V718" s="11">
        <f>IF(AG718="2",G718,0)</f>
        <v>0</v>
      </c>
      <c r="W718" s="11">
        <f>IF(AG718="2",H718,0)</f>
        <v>0</v>
      </c>
      <c r="X718" s="11">
        <f>IF(AG718="0",I718,0)</f>
        <v>0</v>
      </c>
      <c r="Y718" s="6"/>
      <c r="Z718" s="4">
        <f>IF(AD718=0,I718,0)</f>
        <v>0</v>
      </c>
      <c r="AA718" s="4">
        <f>IF(AD718=15,I718,0)</f>
        <v>0</v>
      </c>
      <c r="AB718" s="4">
        <f>IF(AD718=21,I718,0)</f>
        <v>0</v>
      </c>
      <c r="AD718" s="11">
        <v>21</v>
      </c>
      <c r="AE718" s="11">
        <f>F718*0.167683277707446</f>
        <v>0</v>
      </c>
      <c r="AF718" s="11">
        <f>F718*(1-0.167683277707446)</f>
        <v>0</v>
      </c>
      <c r="AG718" s="7" t="s">
        <v>498</v>
      </c>
      <c r="AM718" s="11">
        <f>E718*AE718</f>
        <v>0</v>
      </c>
      <c r="AN718" s="11">
        <f>E718*AF718</f>
        <v>0</v>
      </c>
      <c r="AO718" s="12" t="s">
        <v>217</v>
      </c>
      <c r="AP718" s="12" t="s">
        <v>233</v>
      </c>
      <c r="AQ718" s="6" t="s">
        <v>234</v>
      </c>
      <c r="AS718" s="11">
        <f>AM718+AN718</f>
        <v>0</v>
      </c>
      <c r="AT718" s="11">
        <f>F718/(100-AU718)*100</f>
        <v>0</v>
      </c>
      <c r="AU718" s="11">
        <v>0</v>
      </c>
      <c r="AV718" s="11">
        <f>K718</f>
        <v>1.4567695100000002</v>
      </c>
    </row>
    <row r="719" spans="1:14" ht="12.75">
      <c r="A719" s="39"/>
      <c r="B719" s="39"/>
      <c r="C719" s="63" t="s">
        <v>118</v>
      </c>
      <c r="D719" s="39"/>
      <c r="E719" s="64">
        <v>42.091</v>
      </c>
      <c r="F719" s="39"/>
      <c r="G719" s="39"/>
      <c r="H719" s="39"/>
      <c r="I719" s="39"/>
      <c r="J719" s="39"/>
      <c r="K719" s="39"/>
      <c r="L719" s="39"/>
      <c r="M719" s="39"/>
      <c r="N719" s="39"/>
    </row>
    <row r="720" spans="1:48" ht="12.75">
      <c r="A720" s="59" t="s">
        <v>861</v>
      </c>
      <c r="B720" s="59" t="s">
        <v>1245</v>
      </c>
      <c r="C720" s="59" t="s">
        <v>119</v>
      </c>
      <c r="D720" s="59" t="s">
        <v>142</v>
      </c>
      <c r="E720" s="60">
        <v>1.773</v>
      </c>
      <c r="F720" s="61"/>
      <c r="G720" s="61">
        <f>E720*AE720</f>
        <v>0</v>
      </c>
      <c r="H720" s="61">
        <f>I720-G720</f>
        <v>0</v>
      </c>
      <c r="I720" s="61">
        <f>E720*F720</f>
        <v>0</v>
      </c>
      <c r="J720" s="61">
        <v>0.07717</v>
      </c>
      <c r="K720" s="61">
        <f>E720*J720</f>
        <v>0.13682241</v>
      </c>
      <c r="L720" s="62" t="s">
        <v>170</v>
      </c>
      <c r="M720" s="39"/>
      <c r="N720" s="39"/>
      <c r="P720" s="11">
        <f>IF(AG720="5",I720,0)</f>
        <v>0</v>
      </c>
      <c r="R720" s="11">
        <f>IF(AG720="1",G720,0)</f>
        <v>0</v>
      </c>
      <c r="S720" s="11">
        <f>IF(AG720="1",H720,0)</f>
        <v>0</v>
      </c>
      <c r="T720" s="11">
        <f>IF(AG720="7",G720,0)</f>
        <v>0</v>
      </c>
      <c r="U720" s="11">
        <f>IF(AG720="7",H720,0)</f>
        <v>0</v>
      </c>
      <c r="V720" s="11">
        <f>IF(AG720="2",G720,0)</f>
        <v>0</v>
      </c>
      <c r="W720" s="11">
        <f>IF(AG720="2",H720,0)</f>
        <v>0</v>
      </c>
      <c r="X720" s="11">
        <f>IF(AG720="0",I720,0)</f>
        <v>0</v>
      </c>
      <c r="Y720" s="6"/>
      <c r="Z720" s="4">
        <f>IF(AD720=0,I720,0)</f>
        <v>0</v>
      </c>
      <c r="AA720" s="4">
        <f>IF(AD720=15,I720,0)</f>
        <v>0</v>
      </c>
      <c r="AB720" s="4">
        <f>IF(AD720=21,I720,0)</f>
        <v>0</v>
      </c>
      <c r="AD720" s="11">
        <v>21</v>
      </c>
      <c r="AE720" s="11">
        <f>F720*0.100723327305606</f>
        <v>0</v>
      </c>
      <c r="AF720" s="11">
        <f>F720*(1-0.100723327305606)</f>
        <v>0</v>
      </c>
      <c r="AG720" s="7" t="s">
        <v>498</v>
      </c>
      <c r="AM720" s="11">
        <f>E720*AE720</f>
        <v>0</v>
      </c>
      <c r="AN720" s="11">
        <f>E720*AF720</f>
        <v>0</v>
      </c>
      <c r="AO720" s="12" t="s">
        <v>217</v>
      </c>
      <c r="AP720" s="12" t="s">
        <v>233</v>
      </c>
      <c r="AQ720" s="6" t="s">
        <v>234</v>
      </c>
      <c r="AS720" s="11">
        <f>AM720+AN720</f>
        <v>0</v>
      </c>
      <c r="AT720" s="11">
        <f>F720/(100-AU720)*100</f>
        <v>0</v>
      </c>
      <c r="AU720" s="11">
        <v>0</v>
      </c>
      <c r="AV720" s="11">
        <f>K720</f>
        <v>0.13682241</v>
      </c>
    </row>
    <row r="721" spans="1:14" ht="12.75">
      <c r="A721" s="39"/>
      <c r="B721" s="39"/>
      <c r="C721" s="63" t="s">
        <v>120</v>
      </c>
      <c r="D721" s="39"/>
      <c r="E721" s="64">
        <v>1.773</v>
      </c>
      <c r="F721" s="39"/>
      <c r="G721" s="39"/>
      <c r="H721" s="39"/>
      <c r="I721" s="39"/>
      <c r="J721" s="39"/>
      <c r="K721" s="39"/>
      <c r="L721" s="39"/>
      <c r="M721" s="39"/>
      <c r="N721" s="39"/>
    </row>
    <row r="722" spans="1:48" ht="12.75">
      <c r="A722" s="59" t="s">
        <v>862</v>
      </c>
      <c r="B722" s="59" t="s">
        <v>1246</v>
      </c>
      <c r="C722" s="59" t="s">
        <v>121</v>
      </c>
      <c r="D722" s="59" t="s">
        <v>142</v>
      </c>
      <c r="E722" s="60">
        <v>3.152</v>
      </c>
      <c r="F722" s="61"/>
      <c r="G722" s="61">
        <f>E722*AE722</f>
        <v>0</v>
      </c>
      <c r="H722" s="61">
        <f>I722-G722</f>
        <v>0</v>
      </c>
      <c r="I722" s="61">
        <f>E722*F722</f>
        <v>0</v>
      </c>
      <c r="J722" s="61">
        <v>0.064</v>
      </c>
      <c r="K722" s="61">
        <f>E722*J722</f>
        <v>0.20172800000000002</v>
      </c>
      <c r="L722" s="62" t="s">
        <v>170</v>
      </c>
      <c r="M722" s="39"/>
      <c r="N722" s="39"/>
      <c r="P722" s="11">
        <f>IF(AG722="5",I722,0)</f>
        <v>0</v>
      </c>
      <c r="R722" s="11">
        <f>IF(AG722="1",G722,0)</f>
        <v>0</v>
      </c>
      <c r="S722" s="11">
        <f>IF(AG722="1",H722,0)</f>
        <v>0</v>
      </c>
      <c r="T722" s="11">
        <f>IF(AG722="7",G722,0)</f>
        <v>0</v>
      </c>
      <c r="U722" s="11">
        <f>IF(AG722="7",H722,0)</f>
        <v>0</v>
      </c>
      <c r="V722" s="11">
        <f>IF(AG722="2",G722,0)</f>
        <v>0</v>
      </c>
      <c r="W722" s="11">
        <f>IF(AG722="2",H722,0)</f>
        <v>0</v>
      </c>
      <c r="X722" s="11">
        <f>IF(AG722="0",I722,0)</f>
        <v>0</v>
      </c>
      <c r="Y722" s="6"/>
      <c r="Z722" s="4">
        <f>IF(AD722=0,I722,0)</f>
        <v>0</v>
      </c>
      <c r="AA722" s="4">
        <f>IF(AD722=15,I722,0)</f>
        <v>0</v>
      </c>
      <c r="AB722" s="4">
        <f>IF(AD722=21,I722,0)</f>
        <v>0</v>
      </c>
      <c r="AD722" s="11">
        <v>21</v>
      </c>
      <c r="AE722" s="11">
        <f>F722*0.111007506177444</f>
        <v>0</v>
      </c>
      <c r="AF722" s="11">
        <f>F722*(1-0.111007506177444)</f>
        <v>0</v>
      </c>
      <c r="AG722" s="7" t="s">
        <v>498</v>
      </c>
      <c r="AM722" s="11">
        <f>E722*AE722</f>
        <v>0</v>
      </c>
      <c r="AN722" s="11">
        <f>E722*AF722</f>
        <v>0</v>
      </c>
      <c r="AO722" s="12" t="s">
        <v>217</v>
      </c>
      <c r="AP722" s="12" t="s">
        <v>233</v>
      </c>
      <c r="AQ722" s="6" t="s">
        <v>234</v>
      </c>
      <c r="AS722" s="11">
        <f>AM722+AN722</f>
        <v>0</v>
      </c>
      <c r="AT722" s="11">
        <f>F722/(100-AU722)*100</f>
        <v>0</v>
      </c>
      <c r="AU722" s="11">
        <v>0</v>
      </c>
      <c r="AV722" s="11">
        <f>K722</f>
        <v>0.20172800000000002</v>
      </c>
    </row>
    <row r="723" spans="1:14" ht="12.75">
      <c r="A723" s="39"/>
      <c r="B723" s="39"/>
      <c r="C723" s="63" t="s">
        <v>122</v>
      </c>
      <c r="D723" s="39"/>
      <c r="E723" s="64">
        <v>3.152</v>
      </c>
      <c r="F723" s="39"/>
      <c r="G723" s="39"/>
      <c r="H723" s="39"/>
      <c r="I723" s="39"/>
      <c r="J723" s="39"/>
      <c r="K723" s="39"/>
      <c r="L723" s="39"/>
      <c r="M723" s="39"/>
      <c r="N723" s="39"/>
    </row>
    <row r="724" spans="1:48" ht="12.75">
      <c r="A724" s="59" t="s">
        <v>863</v>
      </c>
      <c r="B724" s="59" t="s">
        <v>973</v>
      </c>
      <c r="C724" s="59" t="s">
        <v>1492</v>
      </c>
      <c r="D724" s="59" t="s">
        <v>142</v>
      </c>
      <c r="E724" s="60">
        <v>223.3</v>
      </c>
      <c r="F724" s="61"/>
      <c r="G724" s="61">
        <f>E724*AE724</f>
        <v>0</v>
      </c>
      <c r="H724" s="61">
        <f>I724-G724</f>
        <v>0</v>
      </c>
      <c r="I724" s="61">
        <f>E724*F724</f>
        <v>0</v>
      </c>
      <c r="J724" s="61">
        <v>0</v>
      </c>
      <c r="K724" s="61">
        <f>E724*J724</f>
        <v>0</v>
      </c>
      <c r="L724" s="62" t="s">
        <v>170</v>
      </c>
      <c r="M724" s="39"/>
      <c r="N724" s="39"/>
      <c r="P724" s="11">
        <f>IF(AG724="5",I724,0)</f>
        <v>0</v>
      </c>
      <c r="R724" s="11">
        <f>IF(AG724="1",G724,0)</f>
        <v>0</v>
      </c>
      <c r="S724" s="11">
        <f>IF(AG724="1",H724,0)</f>
        <v>0</v>
      </c>
      <c r="T724" s="11">
        <f>IF(AG724="7",G724,0)</f>
        <v>0</v>
      </c>
      <c r="U724" s="11">
        <f>IF(AG724="7",H724,0)</f>
        <v>0</v>
      </c>
      <c r="V724" s="11">
        <f>IF(AG724="2",G724,0)</f>
        <v>0</v>
      </c>
      <c r="W724" s="11">
        <f>IF(AG724="2",H724,0)</f>
        <v>0</v>
      </c>
      <c r="X724" s="11">
        <f>IF(AG724="0",I724,0)</f>
        <v>0</v>
      </c>
      <c r="Y724" s="6"/>
      <c r="Z724" s="4">
        <f>IF(AD724=0,I724,0)</f>
        <v>0</v>
      </c>
      <c r="AA724" s="4">
        <f>IF(AD724=15,I724,0)</f>
        <v>0</v>
      </c>
      <c r="AB724" s="4">
        <f>IF(AD724=21,I724,0)</f>
        <v>0</v>
      </c>
      <c r="AD724" s="11">
        <v>21</v>
      </c>
      <c r="AE724" s="11">
        <f>F724*0</f>
        <v>0</v>
      </c>
      <c r="AF724" s="11">
        <f>F724*(1-0)</f>
        <v>0</v>
      </c>
      <c r="AG724" s="7" t="s">
        <v>498</v>
      </c>
      <c r="AM724" s="11">
        <f>E724*AE724</f>
        <v>0</v>
      </c>
      <c r="AN724" s="11">
        <f>E724*AF724</f>
        <v>0</v>
      </c>
      <c r="AO724" s="12" t="s">
        <v>217</v>
      </c>
      <c r="AP724" s="12" t="s">
        <v>233</v>
      </c>
      <c r="AQ724" s="6" t="s">
        <v>234</v>
      </c>
      <c r="AS724" s="11">
        <f>AM724+AN724</f>
        <v>0</v>
      </c>
      <c r="AT724" s="11">
        <f>F724/(100-AU724)*100</f>
        <v>0</v>
      </c>
      <c r="AU724" s="11">
        <v>0</v>
      </c>
      <c r="AV724" s="11">
        <f>K724</f>
        <v>0</v>
      </c>
    </row>
    <row r="725" spans="1:14" ht="12.75">
      <c r="A725" s="39"/>
      <c r="B725" s="39"/>
      <c r="C725" s="63" t="s">
        <v>1493</v>
      </c>
      <c r="D725" s="39"/>
      <c r="E725" s="64">
        <v>223.3</v>
      </c>
      <c r="F725" s="39"/>
      <c r="G725" s="39"/>
      <c r="H725" s="39"/>
      <c r="I725" s="39"/>
      <c r="J725" s="39"/>
      <c r="K725" s="39"/>
      <c r="L725" s="39"/>
      <c r="M725" s="39"/>
      <c r="N725" s="39"/>
    </row>
    <row r="726" spans="1:48" ht="12.75">
      <c r="A726" s="59" t="s">
        <v>864</v>
      </c>
      <c r="B726" s="59" t="s">
        <v>1247</v>
      </c>
      <c r="C726" s="59" t="s">
        <v>123</v>
      </c>
      <c r="D726" s="59" t="s">
        <v>146</v>
      </c>
      <c r="E726" s="60">
        <v>10.155</v>
      </c>
      <c r="F726" s="61"/>
      <c r="G726" s="61">
        <f>E726*AE726</f>
        <v>0</v>
      </c>
      <c r="H726" s="61">
        <f>I726-G726</f>
        <v>0</v>
      </c>
      <c r="I726" s="61">
        <f>E726*F726</f>
        <v>0</v>
      </c>
      <c r="J726" s="61">
        <v>0.145</v>
      </c>
      <c r="K726" s="61">
        <f>E726*J726</f>
        <v>1.4724749999999998</v>
      </c>
      <c r="L726" s="62" t="s">
        <v>170</v>
      </c>
      <c r="M726" s="39"/>
      <c r="N726" s="39"/>
      <c r="P726" s="11">
        <f>IF(AG726="5",I726,0)</f>
        <v>0</v>
      </c>
      <c r="R726" s="11">
        <f>IF(AG726="1",G726,0)</f>
        <v>0</v>
      </c>
      <c r="S726" s="11">
        <f>IF(AG726="1",H726,0)</f>
        <v>0</v>
      </c>
      <c r="T726" s="11">
        <f>IF(AG726="7",G726,0)</f>
        <v>0</v>
      </c>
      <c r="U726" s="11">
        <f>IF(AG726="7",H726,0)</f>
        <v>0</v>
      </c>
      <c r="V726" s="11">
        <f>IF(AG726="2",G726,0)</f>
        <v>0</v>
      </c>
      <c r="W726" s="11">
        <f>IF(AG726="2",H726,0)</f>
        <v>0</v>
      </c>
      <c r="X726" s="11">
        <f>IF(AG726="0",I726,0)</f>
        <v>0</v>
      </c>
      <c r="Y726" s="6"/>
      <c r="Z726" s="4">
        <f>IF(AD726=0,I726,0)</f>
        <v>0</v>
      </c>
      <c r="AA726" s="4">
        <f>IF(AD726=15,I726,0)</f>
        <v>0</v>
      </c>
      <c r="AB726" s="4">
        <f>IF(AD726=21,I726,0)</f>
        <v>0</v>
      </c>
      <c r="AD726" s="11">
        <v>21</v>
      </c>
      <c r="AE726" s="11">
        <f>F726*0</f>
        <v>0</v>
      </c>
      <c r="AF726" s="11">
        <f>F726*(1-0)</f>
        <v>0</v>
      </c>
      <c r="AG726" s="7" t="s">
        <v>498</v>
      </c>
      <c r="AM726" s="11">
        <f>E726*AE726</f>
        <v>0</v>
      </c>
      <c r="AN726" s="11">
        <f>E726*AF726</f>
        <v>0</v>
      </c>
      <c r="AO726" s="12" t="s">
        <v>217</v>
      </c>
      <c r="AP726" s="12" t="s">
        <v>233</v>
      </c>
      <c r="AQ726" s="6" t="s">
        <v>234</v>
      </c>
      <c r="AS726" s="11">
        <f>AM726+AN726</f>
        <v>0</v>
      </c>
      <c r="AT726" s="11">
        <f>F726/(100-AU726)*100</f>
        <v>0</v>
      </c>
      <c r="AU726" s="11">
        <v>0</v>
      </c>
      <c r="AV726" s="11">
        <f>K726</f>
        <v>1.4724749999999998</v>
      </c>
    </row>
    <row r="727" spans="1:14" ht="12.75">
      <c r="A727" s="39"/>
      <c r="B727" s="39"/>
      <c r="C727" s="63" t="s">
        <v>66</v>
      </c>
      <c r="D727" s="39"/>
      <c r="E727" s="64">
        <v>10.155</v>
      </c>
      <c r="F727" s="39"/>
      <c r="G727" s="39"/>
      <c r="H727" s="39"/>
      <c r="I727" s="39"/>
      <c r="J727" s="39"/>
      <c r="K727" s="39"/>
      <c r="L727" s="39"/>
      <c r="M727" s="39"/>
      <c r="N727" s="39"/>
    </row>
    <row r="728" spans="1:48" ht="12.75">
      <c r="A728" s="59" t="s">
        <v>865</v>
      </c>
      <c r="B728" s="59" t="s">
        <v>1248</v>
      </c>
      <c r="C728" s="59" t="s">
        <v>124</v>
      </c>
      <c r="D728" s="59" t="s">
        <v>143</v>
      </c>
      <c r="E728" s="60">
        <v>100.788</v>
      </c>
      <c r="F728" s="61"/>
      <c r="G728" s="61">
        <f>E728*AE728</f>
        <v>0</v>
      </c>
      <c r="H728" s="61">
        <f>I728-G728</f>
        <v>0</v>
      </c>
      <c r="I728" s="61">
        <f>E728*F728</f>
        <v>0</v>
      </c>
      <c r="J728" s="61">
        <v>0</v>
      </c>
      <c r="K728" s="61">
        <f>E728*J728</f>
        <v>0</v>
      </c>
      <c r="L728" s="62" t="s">
        <v>170</v>
      </c>
      <c r="M728" s="39"/>
      <c r="N728" s="39"/>
      <c r="P728" s="11">
        <f>IF(AG728="5",I728,0)</f>
        <v>0</v>
      </c>
      <c r="R728" s="11">
        <f>IF(AG728="1",G728,0)</f>
        <v>0</v>
      </c>
      <c r="S728" s="11">
        <f>IF(AG728="1",H728,0)</f>
        <v>0</v>
      </c>
      <c r="T728" s="11">
        <f>IF(AG728="7",G728,0)</f>
        <v>0</v>
      </c>
      <c r="U728" s="11">
        <f>IF(AG728="7",H728,0)</f>
        <v>0</v>
      </c>
      <c r="V728" s="11">
        <f>IF(AG728="2",G728,0)</f>
        <v>0</v>
      </c>
      <c r="W728" s="11">
        <f>IF(AG728="2",H728,0)</f>
        <v>0</v>
      </c>
      <c r="X728" s="11">
        <f>IF(AG728="0",I728,0)</f>
        <v>0</v>
      </c>
      <c r="Y728" s="6"/>
      <c r="Z728" s="4">
        <f>IF(AD728=0,I728,0)</f>
        <v>0</v>
      </c>
      <c r="AA728" s="4">
        <f>IF(AD728=15,I728,0)</f>
        <v>0</v>
      </c>
      <c r="AB728" s="4">
        <f>IF(AD728=21,I728,0)</f>
        <v>0</v>
      </c>
      <c r="AD728" s="11">
        <v>21</v>
      </c>
      <c r="AE728" s="11">
        <f>F728*0</f>
        <v>0</v>
      </c>
      <c r="AF728" s="11">
        <f>F728*(1-0)</f>
        <v>0</v>
      </c>
      <c r="AG728" s="7" t="s">
        <v>502</v>
      </c>
      <c r="AM728" s="11">
        <f>E728*AE728</f>
        <v>0</v>
      </c>
      <c r="AN728" s="11">
        <f>E728*AF728</f>
        <v>0</v>
      </c>
      <c r="AO728" s="12" t="s">
        <v>217</v>
      </c>
      <c r="AP728" s="12" t="s">
        <v>233</v>
      </c>
      <c r="AQ728" s="6" t="s">
        <v>234</v>
      </c>
      <c r="AS728" s="11">
        <f>AM728+AN728</f>
        <v>0</v>
      </c>
      <c r="AT728" s="11">
        <f>F728/(100-AU728)*100</f>
        <v>0</v>
      </c>
      <c r="AU728" s="11">
        <v>0</v>
      </c>
      <c r="AV728" s="11">
        <f>K728</f>
        <v>0</v>
      </c>
    </row>
    <row r="729" spans="1:48" ht="12.75">
      <c r="A729" s="59" t="s">
        <v>866</v>
      </c>
      <c r="B729" s="59" t="s">
        <v>1249</v>
      </c>
      <c r="C729" s="59" t="s">
        <v>125</v>
      </c>
      <c r="D729" s="59" t="s">
        <v>143</v>
      </c>
      <c r="E729" s="60">
        <v>403.153</v>
      </c>
      <c r="F729" s="61"/>
      <c r="G729" s="61">
        <f>E729*AE729</f>
        <v>0</v>
      </c>
      <c r="H729" s="61">
        <f>I729-G729</f>
        <v>0</v>
      </c>
      <c r="I729" s="61">
        <f>E729*F729</f>
        <v>0</v>
      </c>
      <c r="J729" s="61">
        <v>0</v>
      </c>
      <c r="K729" s="61">
        <f>E729*J729</f>
        <v>0</v>
      </c>
      <c r="L729" s="62" t="s">
        <v>170</v>
      </c>
      <c r="M729" s="39"/>
      <c r="N729" s="39"/>
      <c r="P729" s="11">
        <f>IF(AG729="5",I729,0)</f>
        <v>0</v>
      </c>
      <c r="R729" s="11">
        <f>IF(AG729="1",G729,0)</f>
        <v>0</v>
      </c>
      <c r="S729" s="11">
        <f>IF(AG729="1",H729,0)</f>
        <v>0</v>
      </c>
      <c r="T729" s="11">
        <f>IF(AG729="7",G729,0)</f>
        <v>0</v>
      </c>
      <c r="U729" s="11">
        <f>IF(AG729="7",H729,0)</f>
        <v>0</v>
      </c>
      <c r="V729" s="11">
        <f>IF(AG729="2",G729,0)</f>
        <v>0</v>
      </c>
      <c r="W729" s="11">
        <f>IF(AG729="2",H729,0)</f>
        <v>0</v>
      </c>
      <c r="X729" s="11">
        <f>IF(AG729="0",I729,0)</f>
        <v>0</v>
      </c>
      <c r="Y729" s="6"/>
      <c r="Z729" s="4">
        <f>IF(AD729=0,I729,0)</f>
        <v>0</v>
      </c>
      <c r="AA729" s="4">
        <f>IF(AD729=15,I729,0)</f>
        <v>0</v>
      </c>
      <c r="AB729" s="4">
        <f>IF(AD729=21,I729,0)</f>
        <v>0</v>
      </c>
      <c r="AD729" s="11">
        <v>21</v>
      </c>
      <c r="AE729" s="11">
        <f>F729*0</f>
        <v>0</v>
      </c>
      <c r="AF729" s="11">
        <f>F729*(1-0)</f>
        <v>0</v>
      </c>
      <c r="AG729" s="7" t="s">
        <v>502</v>
      </c>
      <c r="AM729" s="11">
        <f>E729*AE729</f>
        <v>0</v>
      </c>
      <c r="AN729" s="11">
        <f>E729*AF729</f>
        <v>0</v>
      </c>
      <c r="AO729" s="12" t="s">
        <v>217</v>
      </c>
      <c r="AP729" s="12" t="s">
        <v>233</v>
      </c>
      <c r="AQ729" s="6" t="s">
        <v>234</v>
      </c>
      <c r="AS729" s="11">
        <f>AM729+AN729</f>
        <v>0</v>
      </c>
      <c r="AT729" s="11">
        <f>F729/(100-AU729)*100</f>
        <v>0</v>
      </c>
      <c r="AU729" s="11">
        <v>0</v>
      </c>
      <c r="AV729" s="11">
        <f>K729</f>
        <v>0</v>
      </c>
    </row>
    <row r="730" spans="1:48" ht="12.75">
      <c r="A730" s="59" t="s">
        <v>867</v>
      </c>
      <c r="B730" s="59" t="s">
        <v>1250</v>
      </c>
      <c r="C730" s="59" t="s">
        <v>126</v>
      </c>
      <c r="D730" s="59" t="s">
        <v>143</v>
      </c>
      <c r="E730" s="60">
        <v>100.788</v>
      </c>
      <c r="F730" s="61"/>
      <c r="G730" s="61">
        <f>E730*AE730</f>
        <v>0</v>
      </c>
      <c r="H730" s="61">
        <f>I730-G730</f>
        <v>0</v>
      </c>
      <c r="I730" s="61">
        <v>0</v>
      </c>
      <c r="J730" s="61">
        <v>0</v>
      </c>
      <c r="K730" s="61">
        <f>E730*J730</f>
        <v>0</v>
      </c>
      <c r="L730" s="62" t="s">
        <v>170</v>
      </c>
      <c r="M730" s="39"/>
      <c r="N730" s="39"/>
      <c r="P730" s="11">
        <f>IF(AG730="5",I730,0)</f>
        <v>0</v>
      </c>
      <c r="R730" s="11">
        <f>IF(AG730="1",G730,0)</f>
        <v>0</v>
      </c>
      <c r="S730" s="11">
        <f>IF(AG730="1",H730,0)</f>
        <v>0</v>
      </c>
      <c r="T730" s="11">
        <f>IF(AG730="7",G730,0)</f>
        <v>0</v>
      </c>
      <c r="U730" s="11">
        <f>IF(AG730="7",H730,0)</f>
        <v>0</v>
      </c>
      <c r="V730" s="11">
        <f>IF(AG730="2",G730,0)</f>
        <v>0</v>
      </c>
      <c r="W730" s="11">
        <f>IF(AG730="2",H730,0)</f>
        <v>0</v>
      </c>
      <c r="X730" s="11">
        <f>IF(AG730="0",I730,0)</f>
        <v>0</v>
      </c>
      <c r="Y730" s="6"/>
      <c r="Z730" s="4">
        <f>IF(AD730=0,I730,0)</f>
        <v>0</v>
      </c>
      <c r="AA730" s="4">
        <f>IF(AD730=15,I730,0)</f>
        <v>0</v>
      </c>
      <c r="AB730" s="4">
        <f>IF(AD730=21,I730,0)</f>
        <v>0</v>
      </c>
      <c r="AD730" s="11">
        <v>21</v>
      </c>
      <c r="AE730" s="11">
        <f>F730*0</f>
        <v>0</v>
      </c>
      <c r="AF730" s="11">
        <f>F730*(1-0)</f>
        <v>0</v>
      </c>
      <c r="AG730" s="7" t="s">
        <v>502</v>
      </c>
      <c r="AM730" s="11">
        <f>E730*AE730</f>
        <v>0</v>
      </c>
      <c r="AN730" s="11">
        <f>E730*AF730</f>
        <v>0</v>
      </c>
      <c r="AO730" s="12" t="s">
        <v>217</v>
      </c>
      <c r="AP730" s="12" t="s">
        <v>233</v>
      </c>
      <c r="AQ730" s="6" t="s">
        <v>234</v>
      </c>
      <c r="AS730" s="11">
        <f>AM730+AN730</f>
        <v>0</v>
      </c>
      <c r="AT730" s="11">
        <f>F730/(100-AU730)*100</f>
        <v>0</v>
      </c>
      <c r="AU730" s="11">
        <v>0</v>
      </c>
      <c r="AV730" s="11">
        <f>K730</f>
        <v>0</v>
      </c>
    </row>
    <row r="731" spans="1:37" ht="12.75">
      <c r="A731" s="66"/>
      <c r="B731" s="67" t="s">
        <v>595</v>
      </c>
      <c r="C731" s="305" t="s">
        <v>127</v>
      </c>
      <c r="D731" s="306"/>
      <c r="E731" s="306"/>
      <c r="F731" s="306"/>
      <c r="G731" s="68">
        <f>SUM(G732:G738)</f>
        <v>0</v>
      </c>
      <c r="H731" s="68">
        <f>SUM(H732:H738)</f>
        <v>0</v>
      </c>
      <c r="I731" s="68">
        <f>G731+H731</f>
        <v>0</v>
      </c>
      <c r="J731" s="69"/>
      <c r="K731" s="68">
        <f>SUM(K732:K738)</f>
        <v>203.74809918</v>
      </c>
      <c r="L731" s="69"/>
      <c r="M731" s="39"/>
      <c r="N731" s="39"/>
      <c r="Y731" s="6"/>
      <c r="AI731" s="13">
        <f>SUM(Z732:Z738)</f>
        <v>0</v>
      </c>
      <c r="AJ731" s="13">
        <f>SUM(AA732:AA738)</f>
        <v>0</v>
      </c>
      <c r="AK731" s="13">
        <f>SUM(AB732:AB738)</f>
        <v>0</v>
      </c>
    </row>
    <row r="732" spans="1:48" ht="12.75">
      <c r="A732" s="59" t="s">
        <v>868</v>
      </c>
      <c r="B732" s="59" t="s">
        <v>1251</v>
      </c>
      <c r="C732" s="59" t="s">
        <v>128</v>
      </c>
      <c r="D732" s="59" t="s">
        <v>141</v>
      </c>
      <c r="E732" s="60">
        <v>84.307</v>
      </c>
      <c r="F732" s="61"/>
      <c r="G732" s="61">
        <f>E732*AE732</f>
        <v>0</v>
      </c>
      <c r="H732" s="61">
        <f>I732-G732</f>
        <v>0</v>
      </c>
      <c r="I732" s="61">
        <f>E732*F732</f>
        <v>0</v>
      </c>
      <c r="J732" s="61">
        <v>2.41674</v>
      </c>
      <c r="K732" s="61">
        <f>E732*J732</f>
        <v>203.74809918</v>
      </c>
      <c r="L732" s="62" t="s">
        <v>170</v>
      </c>
      <c r="M732" s="39"/>
      <c r="N732" s="39"/>
      <c r="P732" s="11">
        <f>IF(AG732="5",I732,0)</f>
        <v>0</v>
      </c>
      <c r="R732" s="11">
        <f>IF(AG732="1",G732,0)</f>
        <v>0</v>
      </c>
      <c r="S732" s="11">
        <f>IF(AG732="1",H732,0)</f>
        <v>0</v>
      </c>
      <c r="T732" s="11">
        <f>IF(AG732="7",G732,0)</f>
        <v>0</v>
      </c>
      <c r="U732" s="11">
        <f>IF(AG732="7",H732,0)</f>
        <v>0</v>
      </c>
      <c r="V732" s="11">
        <f>IF(AG732="2",G732,0)</f>
        <v>0</v>
      </c>
      <c r="W732" s="11">
        <f>IF(AG732="2",H732,0)</f>
        <v>0</v>
      </c>
      <c r="X732" s="11">
        <f>IF(AG732="0",I732,0)</f>
        <v>0</v>
      </c>
      <c r="Y732" s="6"/>
      <c r="Z732" s="4">
        <f>IF(AD732=0,I732,0)</f>
        <v>0</v>
      </c>
      <c r="AA732" s="4">
        <f>IF(AD732=15,I732,0)</f>
        <v>0</v>
      </c>
      <c r="AB732" s="4">
        <f>IF(AD732=21,I732,0)</f>
        <v>0</v>
      </c>
      <c r="AD732" s="11">
        <v>21</v>
      </c>
      <c r="AE732" s="11">
        <f>F732*0.020447265625</f>
        <v>0</v>
      </c>
      <c r="AF732" s="11">
        <f>F732*(1-0.020447265625)</f>
        <v>0</v>
      </c>
      <c r="AG732" s="7" t="s">
        <v>498</v>
      </c>
      <c r="AM732" s="11">
        <f>E732*AE732</f>
        <v>0</v>
      </c>
      <c r="AN732" s="11">
        <f>E732*AF732</f>
        <v>0</v>
      </c>
      <c r="AO732" s="12" t="s">
        <v>218</v>
      </c>
      <c r="AP732" s="12" t="s">
        <v>233</v>
      </c>
      <c r="AQ732" s="6" t="s">
        <v>234</v>
      </c>
      <c r="AS732" s="11">
        <f>AM732+AN732</f>
        <v>0</v>
      </c>
      <c r="AT732" s="11">
        <f>F732/(100-AU732)*100</f>
        <v>0</v>
      </c>
      <c r="AU732" s="11">
        <v>0</v>
      </c>
      <c r="AV732" s="11">
        <f>K732</f>
        <v>203.74809918</v>
      </c>
    </row>
    <row r="733" spans="1:14" ht="12.75">
      <c r="A733" s="39"/>
      <c r="B733" s="39"/>
      <c r="C733" s="63" t="s">
        <v>129</v>
      </c>
      <c r="D733" s="39"/>
      <c r="E733" s="64">
        <v>6.949</v>
      </c>
      <c r="F733" s="39"/>
      <c r="G733" s="39"/>
      <c r="H733" s="39"/>
      <c r="I733" s="39"/>
      <c r="J733" s="39"/>
      <c r="K733" s="39"/>
      <c r="L733" s="39"/>
      <c r="M733" s="39"/>
      <c r="N733" s="39"/>
    </row>
    <row r="734" spans="1:14" ht="12.75">
      <c r="A734" s="39"/>
      <c r="B734" s="39"/>
      <c r="C734" s="63" t="s">
        <v>130</v>
      </c>
      <c r="D734" s="39"/>
      <c r="E734" s="64">
        <v>491.59</v>
      </c>
      <c r="F734" s="39"/>
      <c r="G734" s="39"/>
      <c r="H734" s="39"/>
      <c r="I734" s="39"/>
      <c r="J734" s="39"/>
      <c r="K734" s="39"/>
      <c r="L734" s="39"/>
      <c r="M734" s="39"/>
      <c r="N734" s="39"/>
    </row>
    <row r="735" spans="1:14" ht="12.75">
      <c r="A735" s="39"/>
      <c r="B735" s="39"/>
      <c r="C735" s="63" t="s">
        <v>131</v>
      </c>
      <c r="D735" s="39"/>
      <c r="E735" s="64">
        <v>52.471</v>
      </c>
      <c r="F735" s="39"/>
      <c r="G735" s="39"/>
      <c r="H735" s="39"/>
      <c r="I735" s="39"/>
      <c r="J735" s="39"/>
      <c r="K735" s="39"/>
      <c r="L735" s="39"/>
      <c r="M735" s="39"/>
      <c r="N735" s="39"/>
    </row>
    <row r="736" spans="1:14" ht="12.75">
      <c r="A736" s="39"/>
      <c r="B736" s="39"/>
      <c r="C736" s="63" t="s">
        <v>132</v>
      </c>
      <c r="D736" s="39"/>
      <c r="E736" s="64">
        <v>84.307</v>
      </c>
      <c r="F736" s="39"/>
      <c r="G736" s="39"/>
      <c r="H736" s="39"/>
      <c r="I736" s="39"/>
      <c r="J736" s="39"/>
      <c r="K736" s="39"/>
      <c r="L736" s="39"/>
      <c r="M736" s="39"/>
      <c r="N736" s="39"/>
    </row>
    <row r="737" spans="1:14" ht="12.75">
      <c r="A737" s="39"/>
      <c r="B737" s="65" t="s">
        <v>872</v>
      </c>
      <c r="C737" s="303" t="s">
        <v>133</v>
      </c>
      <c r="D737" s="304"/>
      <c r="E737" s="304"/>
      <c r="F737" s="304"/>
      <c r="G737" s="304"/>
      <c r="H737" s="304"/>
      <c r="I737" s="304"/>
      <c r="J737" s="304"/>
      <c r="K737" s="304"/>
      <c r="L737" s="304"/>
      <c r="M737" s="39"/>
      <c r="N737" s="39"/>
    </row>
    <row r="738" spans="1:48" ht="12.75">
      <c r="A738" s="59" t="s">
        <v>869</v>
      </c>
      <c r="B738" s="59" t="s">
        <v>1250</v>
      </c>
      <c r="C738" s="59" t="s">
        <v>126</v>
      </c>
      <c r="D738" s="59" t="s">
        <v>143</v>
      </c>
      <c r="E738" s="60">
        <v>203.748</v>
      </c>
      <c r="F738" s="61"/>
      <c r="G738" s="61">
        <f>E738*AE738</f>
        <v>0</v>
      </c>
      <c r="H738" s="61">
        <f>I738-G738</f>
        <v>0</v>
      </c>
      <c r="I738" s="61">
        <f>E738*F738</f>
        <v>0</v>
      </c>
      <c r="J738" s="61">
        <v>0</v>
      </c>
      <c r="K738" s="61">
        <f>E738*J738</f>
        <v>0</v>
      </c>
      <c r="L738" s="62" t="s">
        <v>170</v>
      </c>
      <c r="M738" s="39"/>
      <c r="N738" s="39"/>
      <c r="P738" s="11">
        <f>IF(AG738="5",I738,0)</f>
        <v>0</v>
      </c>
      <c r="R738" s="11">
        <f>IF(AG738="1",G738,0)</f>
        <v>0</v>
      </c>
      <c r="S738" s="11">
        <f>IF(AG738="1",H738,0)</f>
        <v>0</v>
      </c>
      <c r="T738" s="11">
        <f>IF(AG738="7",G738,0)</f>
        <v>0</v>
      </c>
      <c r="U738" s="11">
        <f>IF(AG738="7",H738,0)</f>
        <v>0</v>
      </c>
      <c r="V738" s="11">
        <f>IF(AG738="2",G738,0)</f>
        <v>0</v>
      </c>
      <c r="W738" s="11">
        <f>IF(AG738="2",H738,0)</f>
        <v>0</v>
      </c>
      <c r="X738" s="11">
        <f>IF(AG738="0",I738,0)</f>
        <v>0</v>
      </c>
      <c r="Y738" s="6"/>
      <c r="Z738" s="4">
        <f>IF(AD738=0,I738,0)</f>
        <v>0</v>
      </c>
      <c r="AA738" s="4">
        <f>IF(AD738=15,I738,0)</f>
        <v>0</v>
      </c>
      <c r="AB738" s="4">
        <f>IF(AD738=21,I738,0)</f>
        <v>0</v>
      </c>
      <c r="AD738" s="11">
        <v>21</v>
      </c>
      <c r="AE738" s="11">
        <f>F738*0</f>
        <v>0</v>
      </c>
      <c r="AF738" s="11">
        <f>F738*(1-0)</f>
        <v>0</v>
      </c>
      <c r="AG738" s="7" t="s">
        <v>502</v>
      </c>
      <c r="AM738" s="11">
        <f>E738*AE738</f>
        <v>0</v>
      </c>
      <c r="AN738" s="11">
        <f>E738*AF738</f>
        <v>0</v>
      </c>
      <c r="AO738" s="12" t="s">
        <v>218</v>
      </c>
      <c r="AP738" s="12" t="s">
        <v>233</v>
      </c>
      <c r="AQ738" s="6" t="s">
        <v>234</v>
      </c>
      <c r="AS738" s="11">
        <f>AM738+AN738</f>
        <v>0</v>
      </c>
      <c r="AT738" s="11">
        <f>F738/(100-AU738)*100</f>
        <v>0</v>
      </c>
      <c r="AU738" s="11">
        <v>0</v>
      </c>
      <c r="AV738" s="11">
        <f>K738</f>
        <v>0</v>
      </c>
    </row>
    <row r="739" spans="1:37" ht="12.75">
      <c r="A739" s="66"/>
      <c r="B739" s="67" t="s">
        <v>1252</v>
      </c>
      <c r="C739" s="305" t="s">
        <v>134</v>
      </c>
      <c r="D739" s="306"/>
      <c r="E739" s="306"/>
      <c r="F739" s="306"/>
      <c r="G739" s="68">
        <f>SUM(G740:G740)</f>
        <v>0</v>
      </c>
      <c r="H739" s="68">
        <f>SUM(H740:H740)</f>
        <v>0</v>
      </c>
      <c r="I739" s="68">
        <f>G739+H739</f>
        <v>0</v>
      </c>
      <c r="J739" s="69"/>
      <c r="K739" s="68">
        <f>SUM(K740:K740)</f>
        <v>0</v>
      </c>
      <c r="L739" s="69"/>
      <c r="M739" s="39"/>
      <c r="N739" s="39"/>
      <c r="Y739" s="6"/>
      <c r="AI739" s="13">
        <f>SUM(Z740:Z740)</f>
        <v>0</v>
      </c>
      <c r="AJ739" s="13">
        <f>SUM(AA740:AA740)</f>
        <v>0</v>
      </c>
      <c r="AK739" s="13">
        <f>SUM(AB740:AB740)</f>
        <v>0</v>
      </c>
    </row>
    <row r="740" spans="1:48" ht="12.75">
      <c r="A740" s="59" t="s">
        <v>870</v>
      </c>
      <c r="B740" s="59" t="s">
        <v>1253</v>
      </c>
      <c r="C740" s="59" t="s">
        <v>135</v>
      </c>
      <c r="D740" s="59" t="s">
        <v>148</v>
      </c>
      <c r="E740" s="60">
        <v>1</v>
      </c>
      <c r="F740" s="61">
        <f>Silno!H153</f>
        <v>0</v>
      </c>
      <c r="G740" s="61">
        <f>E740*AE740</f>
        <v>0</v>
      </c>
      <c r="H740" s="61">
        <f>I740-G740</f>
        <v>0</v>
      </c>
      <c r="I740" s="61">
        <f>E740*F740</f>
        <v>0</v>
      </c>
      <c r="J740" s="61">
        <v>0</v>
      </c>
      <c r="K740" s="61">
        <f>E740*J740</f>
        <v>0</v>
      </c>
      <c r="L740" s="62" t="s">
        <v>170</v>
      </c>
      <c r="M740" s="39"/>
      <c r="N740" s="39"/>
      <c r="P740" s="11">
        <f>IF(AG740="5",I740,0)</f>
        <v>0</v>
      </c>
      <c r="R740" s="11">
        <f>IF(AG740="1",G740,0)</f>
        <v>0</v>
      </c>
      <c r="S740" s="11">
        <f>IF(AG740="1",H740,0)</f>
        <v>0</v>
      </c>
      <c r="T740" s="11">
        <f>IF(AG740="7",G740,0)</f>
        <v>0</v>
      </c>
      <c r="U740" s="11">
        <f>IF(AG740="7",H740,0)</f>
        <v>0</v>
      </c>
      <c r="V740" s="11">
        <f>IF(AG740="2",G740,0)</f>
        <v>0</v>
      </c>
      <c r="W740" s="11">
        <f>IF(AG740="2",H740,0)</f>
        <v>0</v>
      </c>
      <c r="X740" s="11">
        <f>IF(AG740="0",I740,0)</f>
        <v>0</v>
      </c>
      <c r="Y740" s="6"/>
      <c r="Z740" s="4">
        <f>IF(AD740=0,I740,0)</f>
        <v>0</v>
      </c>
      <c r="AA740" s="4">
        <f>IF(AD740=15,I740,0)</f>
        <v>0</v>
      </c>
      <c r="AB740" s="4">
        <f>IF(AD740=21,I740,0)</f>
        <v>0</v>
      </c>
      <c r="AD740" s="11">
        <v>21</v>
      </c>
      <c r="AE740" s="11">
        <f>F740*0.520000014057678</f>
        <v>0</v>
      </c>
      <c r="AF740" s="11">
        <f>F740*(1-0.520000014057678)</f>
        <v>0</v>
      </c>
      <c r="AG740" s="7" t="s">
        <v>499</v>
      </c>
      <c r="AM740" s="11">
        <f>E740*AE740</f>
        <v>0</v>
      </c>
      <c r="AN740" s="11">
        <f>E740*AF740</f>
        <v>0</v>
      </c>
      <c r="AO740" s="12" t="s">
        <v>219</v>
      </c>
      <c r="AP740" s="12" t="s">
        <v>233</v>
      </c>
      <c r="AQ740" s="6" t="s">
        <v>234</v>
      </c>
      <c r="AS740" s="11">
        <f>AM740+AN740</f>
        <v>0</v>
      </c>
      <c r="AT740" s="11">
        <f>F740/(100-AU740)*100</f>
        <v>0</v>
      </c>
      <c r="AU740" s="11">
        <v>0</v>
      </c>
      <c r="AV740" s="11">
        <f>K740</f>
        <v>0</v>
      </c>
    </row>
    <row r="741" spans="1:14" ht="12.75">
      <c r="A741" s="39"/>
      <c r="B741" s="39"/>
      <c r="C741" s="63" t="s">
        <v>498</v>
      </c>
      <c r="D741" s="39"/>
      <c r="E741" s="64">
        <v>1</v>
      </c>
      <c r="F741" s="39"/>
      <c r="G741" s="39"/>
      <c r="H741" s="39"/>
      <c r="I741" s="39"/>
      <c r="J741" s="39"/>
      <c r="K741" s="39"/>
      <c r="L741" s="39"/>
      <c r="M741" s="39"/>
      <c r="N741" s="39"/>
    </row>
    <row r="742" spans="1:37" ht="12.75">
      <c r="A742" s="66"/>
      <c r="B742" s="67" t="s">
        <v>1254</v>
      </c>
      <c r="C742" s="305" t="s">
        <v>136</v>
      </c>
      <c r="D742" s="306"/>
      <c r="E742" s="306"/>
      <c r="F742" s="306"/>
      <c r="G742" s="68">
        <f>SUM(G743:G743)</f>
        <v>0</v>
      </c>
      <c r="H742" s="68">
        <f>SUM(H743:H743)</f>
        <v>0</v>
      </c>
      <c r="I742" s="68">
        <f>G742+H742</f>
        <v>0</v>
      </c>
      <c r="J742" s="69"/>
      <c r="K742" s="68">
        <f>SUM(K743:K743)</f>
        <v>0</v>
      </c>
      <c r="L742" s="69"/>
      <c r="M742" s="39"/>
      <c r="N742" s="39"/>
      <c r="Y742" s="6"/>
      <c r="AI742" s="13">
        <f>SUM(Z743:Z743)</f>
        <v>0</v>
      </c>
      <c r="AJ742" s="13">
        <f>SUM(AA743:AA743)</f>
        <v>0</v>
      </c>
      <c r="AK742" s="13">
        <f>SUM(AB743:AB743)</f>
        <v>0</v>
      </c>
    </row>
    <row r="743" spans="1:48" ht="12.75">
      <c r="A743" s="59" t="s">
        <v>871</v>
      </c>
      <c r="B743" s="59" t="s">
        <v>1255</v>
      </c>
      <c r="C743" s="59" t="s">
        <v>137</v>
      </c>
      <c r="D743" s="59"/>
      <c r="E743" s="60">
        <v>1</v>
      </c>
      <c r="F743" s="61">
        <f>Slabo!H115</f>
        <v>0</v>
      </c>
      <c r="G743" s="61">
        <f>E743*AE743</f>
        <v>0</v>
      </c>
      <c r="H743" s="61">
        <f>I743-G743</f>
        <v>0</v>
      </c>
      <c r="I743" s="61">
        <f>E743*F743</f>
        <v>0</v>
      </c>
      <c r="J743" s="61">
        <v>0</v>
      </c>
      <c r="K743" s="61">
        <f>E743*J743</f>
        <v>0</v>
      </c>
      <c r="L743" s="62" t="s">
        <v>170</v>
      </c>
      <c r="M743" s="39"/>
      <c r="N743" s="39"/>
      <c r="P743" s="11">
        <f>IF(AG743="5",I743,0)</f>
        <v>0</v>
      </c>
      <c r="R743" s="11">
        <f>IF(AG743="1",G743,0)</f>
        <v>0</v>
      </c>
      <c r="S743" s="11">
        <f>IF(AG743="1",H743,0)</f>
        <v>0</v>
      </c>
      <c r="T743" s="11">
        <f>IF(AG743="7",G743,0)</f>
        <v>0</v>
      </c>
      <c r="U743" s="11">
        <f>IF(AG743="7",H743,0)</f>
        <v>0</v>
      </c>
      <c r="V743" s="11">
        <f>IF(AG743="2",G743,0)</f>
        <v>0</v>
      </c>
      <c r="W743" s="11">
        <f>IF(AG743="2",H743,0)</f>
        <v>0</v>
      </c>
      <c r="X743" s="11">
        <f>IF(AG743="0",I743,0)</f>
        <v>0</v>
      </c>
      <c r="Y743" s="6"/>
      <c r="Z743" s="4">
        <f>IF(AD743=0,I743,0)</f>
        <v>0</v>
      </c>
      <c r="AA743" s="4">
        <f>IF(AD743=15,I743,0)</f>
        <v>0</v>
      </c>
      <c r="AB743" s="4">
        <f>IF(AD743=21,I743,0)</f>
        <v>0</v>
      </c>
      <c r="AD743" s="11">
        <v>21</v>
      </c>
      <c r="AE743" s="11">
        <f>F743*0.519999989204739</f>
        <v>0</v>
      </c>
      <c r="AF743" s="11">
        <f>F743*(1-0.519999989204739)</f>
        <v>0</v>
      </c>
      <c r="AG743" s="7" t="s">
        <v>499</v>
      </c>
      <c r="AM743" s="11">
        <f>E743*AE743</f>
        <v>0</v>
      </c>
      <c r="AN743" s="11">
        <f>E743*AF743</f>
        <v>0</v>
      </c>
      <c r="AO743" s="12" t="s">
        <v>220</v>
      </c>
      <c r="AP743" s="12" t="s">
        <v>233</v>
      </c>
      <c r="AQ743" s="6" t="s">
        <v>234</v>
      </c>
      <c r="AS743" s="11">
        <f>AM743+AN743</f>
        <v>0</v>
      </c>
      <c r="AT743" s="11">
        <f>F743/(100-AU743)*100</f>
        <v>0</v>
      </c>
      <c r="AU743" s="11">
        <v>0</v>
      </c>
      <c r="AV743" s="11">
        <f>K743</f>
        <v>0</v>
      </c>
    </row>
    <row r="744" spans="1:14" ht="12.75">
      <c r="A744" s="74"/>
      <c r="B744" s="74"/>
      <c r="C744" s="75" t="s">
        <v>498</v>
      </c>
      <c r="D744" s="74"/>
      <c r="E744" s="76">
        <v>1</v>
      </c>
      <c r="F744" s="74"/>
      <c r="G744" s="74"/>
      <c r="H744" s="74"/>
      <c r="I744" s="74"/>
      <c r="J744" s="74"/>
      <c r="K744" s="74"/>
      <c r="L744" s="74"/>
      <c r="M744" s="39"/>
      <c r="N744" s="39"/>
    </row>
    <row r="745" spans="1:14" ht="12.75">
      <c r="A745" s="77"/>
      <c r="B745" s="77"/>
      <c r="C745" s="77"/>
      <c r="D745" s="77"/>
      <c r="E745" s="77"/>
      <c r="F745" s="77"/>
      <c r="G745" s="311" t="s">
        <v>156</v>
      </c>
      <c r="H745" s="312"/>
      <c r="I745" s="78">
        <f>I12+I29+I34+I37+I71+I90+I140+I143+I148+I152+I155+I188+I232+I266+I277+I301+I309+I338+I366+I409+I418+I436+I450+I463+I469+I501+I549+I600+I615+I623+I632+I643+I646+I650+I656+I659+I671+I690+I731+I739+I742</f>
        <v>0</v>
      </c>
      <c r="J745" s="77"/>
      <c r="K745" s="77"/>
      <c r="L745" s="77"/>
      <c r="M745" s="39"/>
      <c r="N745" s="39"/>
    </row>
    <row r="746" spans="1:14" ht="11.25" customHeight="1">
      <c r="A746" s="3" t="s">
        <v>872</v>
      </c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</row>
    <row r="747" spans="1:14" ht="115.5" customHeight="1">
      <c r="A747" s="295" t="s">
        <v>490</v>
      </c>
      <c r="B747" s="288"/>
      <c r="C747" s="288"/>
      <c r="D747" s="288"/>
      <c r="E747" s="288"/>
      <c r="F747" s="288"/>
      <c r="G747" s="288"/>
      <c r="H747" s="288"/>
      <c r="I747" s="288"/>
      <c r="J747" s="288"/>
      <c r="K747" s="288"/>
      <c r="L747" s="288"/>
      <c r="M747" s="288"/>
      <c r="N747" s="288"/>
    </row>
  </sheetData>
  <sheetProtection/>
  <mergeCells count="80">
    <mergeCell ref="A747:N747"/>
    <mergeCell ref="C737:L737"/>
    <mergeCell ref="C739:F739"/>
    <mergeCell ref="C742:F742"/>
    <mergeCell ref="G745:H745"/>
    <mergeCell ref="C671:F671"/>
    <mergeCell ref="C688:L688"/>
    <mergeCell ref="C690:F690"/>
    <mergeCell ref="C731:F731"/>
    <mergeCell ref="C650:F650"/>
    <mergeCell ref="C655:L655"/>
    <mergeCell ref="C656:F656"/>
    <mergeCell ref="C659:F659"/>
    <mergeCell ref="C623:F623"/>
    <mergeCell ref="C632:F632"/>
    <mergeCell ref="C643:F643"/>
    <mergeCell ref="C646:F646"/>
    <mergeCell ref="C543:L543"/>
    <mergeCell ref="C549:F549"/>
    <mergeCell ref="C600:F600"/>
    <mergeCell ref="C615:F615"/>
    <mergeCell ref="C463:F463"/>
    <mergeCell ref="C469:F469"/>
    <mergeCell ref="C501:F501"/>
    <mergeCell ref="C522:L522"/>
    <mergeCell ref="C409:F409"/>
    <mergeCell ref="C418:F418"/>
    <mergeCell ref="C436:F436"/>
    <mergeCell ref="C450:F450"/>
    <mergeCell ref="C301:F301"/>
    <mergeCell ref="C309:F309"/>
    <mergeCell ref="C338:F338"/>
    <mergeCell ref="C366:F366"/>
    <mergeCell ref="C231:L231"/>
    <mergeCell ref="C232:F232"/>
    <mergeCell ref="C266:F266"/>
    <mergeCell ref="C277:F277"/>
    <mergeCell ref="C152:F152"/>
    <mergeCell ref="C155:F155"/>
    <mergeCell ref="C180:L180"/>
    <mergeCell ref="C188:F188"/>
    <mergeCell ref="C140:F140"/>
    <mergeCell ref="C143:F143"/>
    <mergeCell ref="C148:F148"/>
    <mergeCell ref="C151:L151"/>
    <mergeCell ref="C37:F37"/>
    <mergeCell ref="C71:F71"/>
    <mergeCell ref="C89:L89"/>
    <mergeCell ref="C90:F90"/>
    <mergeCell ref="C12:F12"/>
    <mergeCell ref="C28:L28"/>
    <mergeCell ref="C29:F29"/>
    <mergeCell ref="C34:F34"/>
    <mergeCell ref="H8:H9"/>
    <mergeCell ref="I8:L9"/>
    <mergeCell ref="G10:I10"/>
    <mergeCell ref="J10:K10"/>
    <mergeCell ref="A8:B9"/>
    <mergeCell ref="C8:C9"/>
    <mergeCell ref="D8:E9"/>
    <mergeCell ref="F8:G9"/>
    <mergeCell ref="H4:H5"/>
    <mergeCell ref="I4:L5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4"/>
  <sheetViews>
    <sheetView zoomScalePageLayoutView="0" workbookViewId="0" topLeftCell="A127">
      <selection activeCell="A50" sqref="A50"/>
    </sheetView>
  </sheetViews>
  <sheetFormatPr defaultColWidth="9.140625" defaultRowHeight="12.75"/>
  <cols>
    <col min="1" max="1" width="21.7109375" style="183" customWidth="1"/>
    <col min="2" max="2" width="4.7109375" style="175" customWidth="1"/>
    <col min="3" max="3" width="5.00390625" style="176" customWidth="1"/>
    <col min="4" max="4" width="9.00390625" style="177" customWidth="1"/>
    <col min="5" max="5" width="7.57421875" style="101" customWidth="1"/>
    <col min="6" max="6" width="12.140625" style="177" customWidth="1"/>
    <col min="7" max="7" width="13.57421875" style="177" customWidth="1"/>
    <col min="8" max="8" width="14.7109375" style="168" customWidth="1"/>
    <col min="9" max="9" width="10.8515625" style="168" bestFit="1" customWidth="1"/>
    <col min="10" max="16384" width="9.140625" style="168" customWidth="1"/>
  </cols>
  <sheetData>
    <row r="1" spans="1:7" s="163" customFormat="1" ht="12.75">
      <c r="A1" s="159" t="s">
        <v>290</v>
      </c>
      <c r="B1" s="160"/>
      <c r="C1" s="161"/>
      <c r="D1" s="162"/>
      <c r="E1" s="83"/>
      <c r="F1" s="162"/>
      <c r="G1" s="162"/>
    </row>
    <row r="2" spans="1:7" ht="15">
      <c r="A2" s="164" t="s">
        <v>395</v>
      </c>
      <c r="B2" s="165"/>
      <c r="C2" s="166"/>
      <c r="D2" s="167"/>
      <c r="E2" s="89"/>
      <c r="F2" s="167"/>
      <c r="G2" s="167"/>
    </row>
    <row r="3" spans="1:7" ht="15">
      <c r="A3" s="164"/>
      <c r="B3" s="165"/>
      <c r="C3" s="166"/>
      <c r="D3" s="167"/>
      <c r="E3" s="89"/>
      <c r="F3" s="167"/>
      <c r="G3" s="167"/>
    </row>
    <row r="4" spans="1:8" ht="15">
      <c r="A4" s="169"/>
      <c r="B4" s="170"/>
      <c r="C4" s="171"/>
      <c r="D4" s="172"/>
      <c r="E4" s="95"/>
      <c r="F4" s="172"/>
      <c r="G4" s="172"/>
      <c r="H4" s="173"/>
    </row>
    <row r="5" ht="15">
      <c r="A5" s="174" t="s">
        <v>396</v>
      </c>
    </row>
    <row r="6" spans="1:8" ht="15">
      <c r="A6" s="178" t="s">
        <v>293</v>
      </c>
      <c r="B6" s="179" t="s">
        <v>294</v>
      </c>
      <c r="C6" s="178" t="s">
        <v>295</v>
      </c>
      <c r="D6" s="180" t="s">
        <v>296</v>
      </c>
      <c r="E6" s="181" t="s">
        <v>297</v>
      </c>
      <c r="F6" s="106" t="s">
        <v>298</v>
      </c>
      <c r="G6" s="181" t="s">
        <v>299</v>
      </c>
      <c r="H6" s="181" t="s">
        <v>300</v>
      </c>
    </row>
    <row r="7" spans="1:8" ht="15">
      <c r="A7" s="164" t="s">
        <v>397</v>
      </c>
      <c r="B7" s="165"/>
      <c r="C7" s="164"/>
      <c r="D7" s="182"/>
      <c r="E7" s="182"/>
      <c r="F7" s="108"/>
      <c r="G7" s="167"/>
      <c r="H7" s="167"/>
    </row>
    <row r="8" spans="1:8" ht="15">
      <c r="A8" s="183" t="s">
        <v>398</v>
      </c>
      <c r="B8" s="175" t="s">
        <v>303</v>
      </c>
      <c r="C8" s="184">
        <v>65</v>
      </c>
      <c r="D8" s="185"/>
      <c r="E8" s="185"/>
      <c r="F8" s="112">
        <f aca="true" t="shared" si="0" ref="F8:F14">C8*D8</f>
        <v>0</v>
      </c>
      <c r="G8" s="186">
        <f aca="true" t="shared" si="1" ref="G8:G14">C8*E8</f>
        <v>0</v>
      </c>
      <c r="H8" s="186">
        <f aca="true" t="shared" si="2" ref="H8:H14">SUM(F8:G8)</f>
        <v>0</v>
      </c>
    </row>
    <row r="9" spans="1:8" ht="15">
      <c r="A9" s="183" t="s">
        <v>399</v>
      </c>
      <c r="B9" s="175" t="s">
        <v>303</v>
      </c>
      <c r="C9" s="183">
        <v>96</v>
      </c>
      <c r="D9" s="185"/>
      <c r="E9" s="185"/>
      <c r="F9" s="112">
        <f t="shared" si="0"/>
        <v>0</v>
      </c>
      <c r="G9" s="186">
        <f t="shared" si="1"/>
        <v>0</v>
      </c>
      <c r="H9" s="186">
        <f t="shared" si="2"/>
        <v>0</v>
      </c>
    </row>
    <row r="10" spans="1:8" ht="15">
      <c r="A10" s="183" t="s">
        <v>400</v>
      </c>
      <c r="B10" s="175" t="s">
        <v>306</v>
      </c>
      <c r="C10" s="183">
        <v>783</v>
      </c>
      <c r="D10" s="185"/>
      <c r="E10" s="185"/>
      <c r="F10" s="112">
        <f t="shared" si="0"/>
        <v>0</v>
      </c>
      <c r="G10" s="186">
        <f t="shared" si="1"/>
        <v>0</v>
      </c>
      <c r="H10" s="186">
        <f t="shared" si="2"/>
        <v>0</v>
      </c>
    </row>
    <row r="11" spans="1:8" ht="15">
      <c r="A11" s="183" t="s">
        <v>401</v>
      </c>
      <c r="B11" s="175" t="s">
        <v>306</v>
      </c>
      <c r="C11" s="183">
        <v>5</v>
      </c>
      <c r="D11" s="185"/>
      <c r="E11" s="185"/>
      <c r="F11" s="112">
        <f t="shared" si="0"/>
        <v>0</v>
      </c>
      <c r="G11" s="186">
        <f t="shared" si="1"/>
        <v>0</v>
      </c>
      <c r="H11" s="186">
        <f t="shared" si="2"/>
        <v>0</v>
      </c>
    </row>
    <row r="12" spans="1:8" ht="15">
      <c r="A12" s="183" t="s">
        <v>402</v>
      </c>
      <c r="B12" s="175" t="s">
        <v>308</v>
      </c>
      <c r="C12" s="114">
        <v>582</v>
      </c>
      <c r="D12" s="185"/>
      <c r="E12" s="185"/>
      <c r="F12" s="112">
        <f t="shared" si="0"/>
        <v>0</v>
      </c>
      <c r="G12" s="186">
        <f t="shared" si="1"/>
        <v>0</v>
      </c>
      <c r="H12" s="186">
        <f t="shared" si="2"/>
        <v>0</v>
      </c>
    </row>
    <row r="13" spans="1:8" ht="15">
      <c r="A13" s="183" t="s">
        <v>403</v>
      </c>
      <c r="B13" s="175" t="s">
        <v>308</v>
      </c>
      <c r="C13" s="114">
        <v>224</v>
      </c>
      <c r="D13" s="185"/>
      <c r="E13" s="185"/>
      <c r="F13" s="112">
        <f t="shared" si="0"/>
        <v>0</v>
      </c>
      <c r="G13" s="186">
        <f t="shared" si="1"/>
        <v>0</v>
      </c>
      <c r="H13" s="186">
        <f t="shared" si="2"/>
        <v>0</v>
      </c>
    </row>
    <row r="14" spans="1:8" ht="15">
      <c r="A14" s="183" t="s">
        <v>404</v>
      </c>
      <c r="B14" s="175" t="s">
        <v>146</v>
      </c>
      <c r="C14" s="183">
        <v>35</v>
      </c>
      <c r="D14" s="185"/>
      <c r="E14" s="185"/>
      <c r="F14" s="112">
        <f t="shared" si="0"/>
        <v>0</v>
      </c>
      <c r="G14" s="186">
        <f t="shared" si="1"/>
        <v>0</v>
      </c>
      <c r="H14" s="186">
        <f t="shared" si="2"/>
        <v>0</v>
      </c>
    </row>
    <row r="15" spans="1:8" ht="15">
      <c r="A15" s="164" t="s">
        <v>405</v>
      </c>
      <c r="C15" s="183"/>
      <c r="D15" s="187"/>
      <c r="E15" s="187"/>
      <c r="F15" s="112"/>
      <c r="G15" s="186"/>
      <c r="H15" s="188"/>
    </row>
    <row r="16" spans="1:8" ht="15">
      <c r="A16" s="164" t="s">
        <v>406</v>
      </c>
      <c r="B16" s="175" t="s">
        <v>407</v>
      </c>
      <c r="C16" s="183">
        <v>40</v>
      </c>
      <c r="D16" s="187"/>
      <c r="E16" s="187"/>
      <c r="F16" s="112">
        <f>C16*D16</f>
        <v>0</v>
      </c>
      <c r="G16" s="186">
        <f>C16*E16</f>
        <v>0</v>
      </c>
      <c r="H16" s="188">
        <f>SUM(F16)</f>
        <v>0</v>
      </c>
    </row>
    <row r="17" spans="1:8" ht="15">
      <c r="A17" s="164" t="s">
        <v>408</v>
      </c>
      <c r="B17" s="175" t="s">
        <v>407</v>
      </c>
      <c r="C17" s="183">
        <v>11</v>
      </c>
      <c r="D17" s="187"/>
      <c r="E17" s="187"/>
      <c r="F17" s="112">
        <f>C17*D17</f>
        <v>0</v>
      </c>
      <c r="G17" s="186">
        <f>C17*E17</f>
        <v>0</v>
      </c>
      <c r="H17" s="188">
        <f>SUM(F17)</f>
        <v>0</v>
      </c>
    </row>
    <row r="18" spans="1:8" ht="15">
      <c r="A18" s="164" t="s">
        <v>409</v>
      </c>
      <c r="B18" s="175" t="s">
        <v>407</v>
      </c>
      <c r="C18" s="183">
        <v>2</v>
      </c>
      <c r="D18" s="187"/>
      <c r="E18" s="187"/>
      <c r="F18" s="112">
        <f>C18*D18</f>
        <v>0</v>
      </c>
      <c r="G18" s="186">
        <f>C18*E18</f>
        <v>0</v>
      </c>
      <c r="H18" s="188">
        <f>SUM(F18)</f>
        <v>0</v>
      </c>
    </row>
    <row r="19" spans="1:8" ht="15">
      <c r="A19" s="164" t="s">
        <v>410</v>
      </c>
      <c r="B19" s="165" t="s">
        <v>411</v>
      </c>
      <c r="C19" s="183">
        <v>327</v>
      </c>
      <c r="D19" s="187"/>
      <c r="E19" s="187"/>
      <c r="F19" s="112">
        <f>C19*D19</f>
        <v>0</v>
      </c>
      <c r="G19" s="186">
        <f>C19*E19</f>
        <v>0</v>
      </c>
      <c r="H19" s="188">
        <f>SUM(F19)</f>
        <v>0</v>
      </c>
    </row>
    <row r="20" spans="1:8" ht="15">
      <c r="A20" s="164" t="s">
        <v>412</v>
      </c>
      <c r="C20" s="183"/>
      <c r="D20" s="187"/>
      <c r="E20" s="187"/>
      <c r="F20" s="112"/>
      <c r="G20" s="186"/>
      <c r="H20" s="188"/>
    </row>
    <row r="21" spans="1:8" ht="15">
      <c r="A21" s="164" t="s">
        <v>413</v>
      </c>
      <c r="B21" s="165" t="s">
        <v>303</v>
      </c>
      <c r="C21" s="164">
        <v>52</v>
      </c>
      <c r="D21" s="187"/>
      <c r="E21" s="187"/>
      <c r="F21" s="129">
        <f>C21*D21</f>
        <v>0</v>
      </c>
      <c r="G21" s="188">
        <f>C21*E21</f>
        <v>0</v>
      </c>
      <c r="H21" s="188">
        <f>SUM(F21:G21)</f>
        <v>0</v>
      </c>
    </row>
    <row r="22" spans="1:8" ht="15">
      <c r="A22" s="164" t="s">
        <v>414</v>
      </c>
      <c r="B22" s="165" t="s">
        <v>303</v>
      </c>
      <c r="C22" s="164">
        <v>46</v>
      </c>
      <c r="D22" s="187"/>
      <c r="E22" s="187"/>
      <c r="F22" s="129">
        <f>C22*D22</f>
        <v>0</v>
      </c>
      <c r="G22" s="188">
        <f>C22*E22</f>
        <v>0</v>
      </c>
      <c r="H22" s="188">
        <f>SUM(F22:G22)</f>
        <v>0</v>
      </c>
    </row>
    <row r="23" spans="1:8" ht="15">
      <c r="A23" s="164" t="s">
        <v>415</v>
      </c>
      <c r="B23" s="165" t="s">
        <v>303</v>
      </c>
      <c r="C23" s="164">
        <v>35</v>
      </c>
      <c r="D23" s="187"/>
      <c r="E23" s="187"/>
      <c r="F23" s="129">
        <f>C23*D23</f>
        <v>0</v>
      </c>
      <c r="G23" s="188">
        <f>C23*E23</f>
        <v>0</v>
      </c>
      <c r="H23" s="188">
        <f>SUM(F23:G23)</f>
        <v>0</v>
      </c>
    </row>
    <row r="24" spans="1:8" ht="15.75" thickBot="1">
      <c r="A24" s="189" t="s">
        <v>416</v>
      </c>
      <c r="B24" s="190" t="s">
        <v>149</v>
      </c>
      <c r="C24" s="189">
        <v>16</v>
      </c>
      <c r="D24" s="191"/>
      <c r="E24" s="191"/>
      <c r="F24" s="118">
        <f>C24*D24</f>
        <v>0</v>
      </c>
      <c r="G24" s="192">
        <f>C24*E24</f>
        <v>0</v>
      </c>
      <c r="H24" s="192">
        <f>SUM(F24:G24)</f>
        <v>0</v>
      </c>
    </row>
    <row r="25" spans="1:8" ht="15">
      <c r="A25" s="183" t="s">
        <v>312</v>
      </c>
      <c r="B25" s="193"/>
      <c r="C25" s="168"/>
      <c r="D25" s="176"/>
      <c r="E25" s="177"/>
      <c r="F25" s="112">
        <f>SUM(F8:F24)</f>
        <v>0</v>
      </c>
      <c r="G25" s="186">
        <f>SUM(G8:G23)</f>
        <v>0</v>
      </c>
      <c r="H25" s="186">
        <f>SUM(F25:G25)</f>
        <v>0</v>
      </c>
    </row>
    <row r="26" spans="1:8" ht="15.75" thickBot="1">
      <c r="A26" s="169" t="s">
        <v>313</v>
      </c>
      <c r="B26" s="194"/>
      <c r="C26" s="195">
        <v>0.03</v>
      </c>
      <c r="D26" s="171"/>
      <c r="E26" s="172"/>
      <c r="F26" s="123"/>
      <c r="G26" s="196">
        <f>PRODUCT(G25,C26)</f>
        <v>0</v>
      </c>
      <c r="H26" s="196">
        <f>SUM(G26)</f>
        <v>0</v>
      </c>
    </row>
    <row r="27" spans="1:8" ht="15.75" thickBot="1">
      <c r="A27" s="183" t="s">
        <v>314</v>
      </c>
      <c r="C27" s="183"/>
      <c r="D27" s="176"/>
      <c r="E27" s="177"/>
      <c r="F27" s="101"/>
      <c r="H27" s="197">
        <f>SUM(H25:H26)</f>
        <v>0</v>
      </c>
    </row>
    <row r="28" spans="3:8" ht="15">
      <c r="C28" s="183"/>
      <c r="D28" s="176"/>
      <c r="E28" s="177"/>
      <c r="F28" s="101"/>
      <c r="H28" s="188"/>
    </row>
    <row r="29" spans="3:8" ht="15">
      <c r="C29" s="183"/>
      <c r="D29" s="176"/>
      <c r="E29" s="177"/>
      <c r="F29" s="101"/>
      <c r="H29" s="188"/>
    </row>
    <row r="30" spans="1:4" ht="15">
      <c r="A30" s="174" t="s">
        <v>315</v>
      </c>
      <c r="B30" s="198"/>
      <c r="D30" s="176"/>
    </row>
    <row r="31" spans="1:8" ht="15">
      <c r="A31" s="178" t="s">
        <v>293</v>
      </c>
      <c r="B31" s="179" t="s">
        <v>316</v>
      </c>
      <c r="C31" s="178" t="s">
        <v>295</v>
      </c>
      <c r="D31" s="180" t="s">
        <v>296</v>
      </c>
      <c r="E31" s="181" t="s">
        <v>297</v>
      </c>
      <c r="F31" s="106" t="s">
        <v>298</v>
      </c>
      <c r="G31" s="181" t="s">
        <v>299</v>
      </c>
      <c r="H31" s="181" t="s">
        <v>300</v>
      </c>
    </row>
    <row r="32" spans="1:8" ht="15">
      <c r="A32" s="164" t="s">
        <v>487</v>
      </c>
      <c r="B32" s="165" t="s">
        <v>303</v>
      </c>
      <c r="C32" s="164">
        <v>98</v>
      </c>
      <c r="D32" s="187"/>
      <c r="E32" s="187"/>
      <c r="F32" s="129">
        <f>C32*D32</f>
        <v>0</v>
      </c>
      <c r="G32" s="188">
        <f>C32*E32</f>
        <v>0</v>
      </c>
      <c r="H32" s="188">
        <f>SUM(F32:G32)</f>
        <v>0</v>
      </c>
    </row>
    <row r="33" spans="1:8" ht="15">
      <c r="A33" s="199" t="s">
        <v>417</v>
      </c>
      <c r="B33" s="165" t="s">
        <v>303</v>
      </c>
      <c r="C33" s="164">
        <v>35</v>
      </c>
      <c r="D33" s="187"/>
      <c r="E33" s="187"/>
      <c r="F33" s="129">
        <f>C33*D33</f>
        <v>0</v>
      </c>
      <c r="G33" s="188">
        <f>C33*E33</f>
        <v>0</v>
      </c>
      <c r="H33" s="188">
        <f>SUM(F33:G33)</f>
        <v>0</v>
      </c>
    </row>
    <row r="34" spans="1:8" ht="15">
      <c r="A34" s="199" t="s">
        <v>319</v>
      </c>
      <c r="B34" s="165" t="s">
        <v>303</v>
      </c>
      <c r="C34" s="164">
        <v>35</v>
      </c>
      <c r="D34" s="187"/>
      <c r="E34" s="187"/>
      <c r="F34" s="129">
        <f>C34*D34</f>
        <v>0</v>
      </c>
      <c r="G34" s="188">
        <f>C34*E34</f>
        <v>0</v>
      </c>
      <c r="H34" s="188">
        <f>SUM(F34:G34)</f>
        <v>0</v>
      </c>
    </row>
    <row r="35" spans="1:7" ht="15">
      <c r="A35" s="183" t="s">
        <v>418</v>
      </c>
      <c r="G35" s="167"/>
    </row>
    <row r="36" spans="1:8" ht="15">
      <c r="A36" s="183" t="s">
        <v>419</v>
      </c>
      <c r="B36" s="165" t="s">
        <v>303</v>
      </c>
      <c r="C36" s="164">
        <v>5</v>
      </c>
      <c r="D36" s="187"/>
      <c r="E36" s="187"/>
      <c r="F36" s="129">
        <f>C36*D36</f>
        <v>0</v>
      </c>
      <c r="G36" s="188">
        <f>C36*E36</f>
        <v>0</v>
      </c>
      <c r="H36" s="188">
        <f>SUM(F36:G36)</f>
        <v>0</v>
      </c>
    </row>
    <row r="37" spans="1:8" ht="15">
      <c r="A37" s="183" t="s">
        <v>420</v>
      </c>
      <c r="B37" s="165"/>
      <c r="C37" s="166"/>
      <c r="D37" s="167"/>
      <c r="E37" s="89"/>
      <c r="F37" s="167"/>
      <c r="G37" s="167"/>
      <c r="H37" s="200"/>
    </row>
    <row r="38" spans="1:8" ht="15">
      <c r="A38" s="183" t="s">
        <v>421</v>
      </c>
      <c r="B38" s="165" t="s">
        <v>303</v>
      </c>
      <c r="C38" s="164">
        <v>138</v>
      </c>
      <c r="D38" s="187"/>
      <c r="E38" s="187"/>
      <c r="F38" s="129">
        <f>C38*D38</f>
        <v>0</v>
      </c>
      <c r="G38" s="188">
        <f>C38*E38</f>
        <v>0</v>
      </c>
      <c r="H38" s="188">
        <f>SUM(F38:G38)</f>
        <v>0</v>
      </c>
    </row>
    <row r="39" spans="1:7" ht="15">
      <c r="A39" s="183" t="s">
        <v>422</v>
      </c>
      <c r="G39" s="167"/>
    </row>
    <row r="40" spans="1:8" ht="15.75" thickBot="1">
      <c r="A40" s="189" t="s">
        <v>423</v>
      </c>
      <c r="B40" s="190" t="s">
        <v>303</v>
      </c>
      <c r="C40" s="189">
        <v>22</v>
      </c>
      <c r="D40" s="191"/>
      <c r="E40" s="191"/>
      <c r="F40" s="118">
        <f>C40*D40</f>
        <v>0</v>
      </c>
      <c r="G40" s="192">
        <f>C40*E40</f>
        <v>0</v>
      </c>
      <c r="H40" s="192">
        <f>SUM(F40:G40)</f>
        <v>0</v>
      </c>
    </row>
    <row r="41" spans="1:8" ht="15">
      <c r="A41" s="183" t="s">
        <v>336</v>
      </c>
      <c r="C41" s="183"/>
      <c r="D41" s="176"/>
      <c r="E41" s="177"/>
      <c r="F41" s="112">
        <f>SUM(F32:F40)</f>
        <v>0</v>
      </c>
      <c r="G41" s="186">
        <f>SUM(G32:G40)</f>
        <v>0</v>
      </c>
      <c r="H41" s="186">
        <f>SUM(F41:G41)</f>
        <v>0</v>
      </c>
    </row>
    <row r="42" spans="1:8" ht="15">
      <c r="A42" s="169" t="s">
        <v>313</v>
      </c>
      <c r="B42" s="170"/>
      <c r="C42" s="195">
        <v>0.03</v>
      </c>
      <c r="D42" s="171"/>
      <c r="E42" s="172"/>
      <c r="F42" s="95"/>
      <c r="G42" s="196">
        <f>PRODUCT(G41,C42)</f>
        <v>0</v>
      </c>
      <c r="H42" s="196">
        <f>SUM(G42)</f>
        <v>0</v>
      </c>
    </row>
    <row r="43" spans="1:8" ht="15.75" thickBot="1">
      <c r="A43" s="183" t="s">
        <v>424</v>
      </c>
      <c r="C43" s="183"/>
      <c r="D43" s="176"/>
      <c r="E43" s="177"/>
      <c r="F43" s="101"/>
      <c r="H43" s="192">
        <f>SUM(H41:H42)</f>
        <v>0</v>
      </c>
    </row>
    <row r="44" spans="3:8" ht="15">
      <c r="C44" s="183"/>
      <c r="D44" s="176"/>
      <c r="E44" s="177"/>
      <c r="F44" s="101"/>
      <c r="H44" s="188"/>
    </row>
    <row r="45" spans="1:4" ht="15">
      <c r="A45" s="174" t="s">
        <v>322</v>
      </c>
      <c r="B45" s="198"/>
      <c r="D45" s="176"/>
    </row>
    <row r="46" spans="1:8" ht="15">
      <c r="A46" s="178" t="s">
        <v>293</v>
      </c>
      <c r="B46" s="179" t="s">
        <v>316</v>
      </c>
      <c r="C46" s="178" t="s">
        <v>295</v>
      </c>
      <c r="D46" s="180" t="s">
        <v>296</v>
      </c>
      <c r="E46" s="181" t="s">
        <v>297</v>
      </c>
      <c r="F46" s="106" t="s">
        <v>298</v>
      </c>
      <c r="G46" s="181" t="s">
        <v>299</v>
      </c>
      <c r="H46" s="181" t="s">
        <v>300</v>
      </c>
    </row>
    <row r="47" spans="1:8" ht="15">
      <c r="A47" s="183" t="s">
        <v>323</v>
      </c>
      <c r="C47" s="183"/>
      <c r="D47" s="201"/>
      <c r="E47" s="177"/>
      <c r="F47" s="101"/>
      <c r="H47" s="177"/>
    </row>
    <row r="48" spans="1:8" ht="15">
      <c r="A48" s="183" t="s">
        <v>425</v>
      </c>
      <c r="B48" s="175" t="s">
        <v>325</v>
      </c>
      <c r="C48" s="183">
        <v>29</v>
      </c>
      <c r="D48" s="202"/>
      <c r="E48" s="203"/>
      <c r="F48" s="134">
        <f aca="true" t="shared" si="3" ref="F48:F53">C48*D48</f>
        <v>0</v>
      </c>
      <c r="G48" s="186">
        <f aca="true" t="shared" si="4" ref="G48:G53">C48*E48</f>
        <v>0</v>
      </c>
      <c r="H48" s="204">
        <f aca="true" t="shared" si="5" ref="H48:H53">SUM(F48:G48)</f>
        <v>0</v>
      </c>
    </row>
    <row r="49" spans="1:8" ht="15">
      <c r="A49" s="183" t="s">
        <v>426</v>
      </c>
      <c r="B49" s="175" t="s">
        <v>407</v>
      </c>
      <c r="C49" s="183">
        <v>3</v>
      </c>
      <c r="D49" s="202"/>
      <c r="E49" s="203"/>
      <c r="F49" s="134">
        <f t="shared" si="3"/>
        <v>0</v>
      </c>
      <c r="G49" s="186">
        <f t="shared" si="4"/>
        <v>0</v>
      </c>
      <c r="H49" s="186">
        <f t="shared" si="5"/>
        <v>0</v>
      </c>
    </row>
    <row r="50" spans="1:8" ht="15">
      <c r="A50" s="183" t="s">
        <v>427</v>
      </c>
      <c r="B50" s="175" t="s">
        <v>325</v>
      </c>
      <c r="C50" s="183">
        <v>38</v>
      </c>
      <c r="D50" s="202"/>
      <c r="E50" s="203"/>
      <c r="F50" s="134">
        <f t="shared" si="3"/>
        <v>0</v>
      </c>
      <c r="G50" s="186">
        <f t="shared" si="4"/>
        <v>0</v>
      </c>
      <c r="H50" s="204">
        <f t="shared" si="5"/>
        <v>0</v>
      </c>
    </row>
    <row r="51" spans="1:8" ht="15">
      <c r="A51" s="183" t="s">
        <v>428</v>
      </c>
      <c r="B51" s="175" t="s">
        <v>407</v>
      </c>
      <c r="C51" s="183">
        <v>5</v>
      </c>
      <c r="D51" s="202"/>
      <c r="E51" s="203"/>
      <c r="F51" s="134">
        <f t="shared" si="3"/>
        <v>0</v>
      </c>
      <c r="G51" s="186">
        <f t="shared" si="4"/>
        <v>0</v>
      </c>
      <c r="H51" s="204">
        <f t="shared" si="5"/>
        <v>0</v>
      </c>
    </row>
    <row r="52" spans="1:8" ht="15">
      <c r="A52" s="183" t="s">
        <v>326</v>
      </c>
      <c r="B52" s="175" t="s">
        <v>325</v>
      </c>
      <c r="C52" s="183">
        <v>8</v>
      </c>
      <c r="D52" s="202"/>
      <c r="E52" s="203"/>
      <c r="F52" s="134">
        <f t="shared" si="3"/>
        <v>0</v>
      </c>
      <c r="G52" s="186">
        <f t="shared" si="4"/>
        <v>0</v>
      </c>
      <c r="H52" s="204">
        <f t="shared" si="5"/>
        <v>0</v>
      </c>
    </row>
    <row r="53" spans="1:8" ht="15">
      <c r="A53" s="183" t="s">
        <v>429</v>
      </c>
      <c r="B53" s="175" t="s">
        <v>407</v>
      </c>
      <c r="C53" s="183">
        <v>1</v>
      </c>
      <c r="D53" s="202"/>
      <c r="E53" s="203"/>
      <c r="F53" s="134">
        <f t="shared" si="3"/>
        <v>0</v>
      </c>
      <c r="G53" s="186">
        <f t="shared" si="4"/>
        <v>0</v>
      </c>
      <c r="H53" s="204">
        <f t="shared" si="5"/>
        <v>0</v>
      </c>
    </row>
    <row r="54" spans="1:8" ht="15">
      <c r="A54" s="183" t="s">
        <v>430</v>
      </c>
      <c r="C54" s="183"/>
      <c r="D54" s="202"/>
      <c r="E54" s="203"/>
      <c r="F54" s="134"/>
      <c r="G54" s="186"/>
      <c r="H54" s="204"/>
    </row>
    <row r="55" spans="1:8" ht="15">
      <c r="A55" s="183" t="s">
        <v>431</v>
      </c>
      <c r="B55" s="175" t="s">
        <v>407</v>
      </c>
      <c r="C55" s="183">
        <v>5</v>
      </c>
      <c r="D55" s="202"/>
      <c r="E55" s="203"/>
      <c r="F55" s="134">
        <f>C55*D55</f>
        <v>0</v>
      </c>
      <c r="G55" s="186">
        <f>C55*E55</f>
        <v>0</v>
      </c>
      <c r="H55" s="204">
        <f>SUM(F55:G55)</f>
        <v>0</v>
      </c>
    </row>
    <row r="56" spans="1:8" ht="15">
      <c r="A56" s="183" t="s">
        <v>432</v>
      </c>
      <c r="B56" s="175" t="s">
        <v>325</v>
      </c>
      <c r="C56" s="183">
        <v>5</v>
      </c>
      <c r="D56" s="202"/>
      <c r="E56" s="203"/>
      <c r="F56" s="134">
        <f>C56*D56</f>
        <v>0</v>
      </c>
      <c r="G56" s="186">
        <f>C56*E56</f>
        <v>0</v>
      </c>
      <c r="H56" s="204">
        <f>SUM(F56:G56)</f>
        <v>0</v>
      </c>
    </row>
    <row r="57" spans="1:8" ht="15">
      <c r="A57" s="183" t="s">
        <v>433</v>
      </c>
      <c r="B57" s="175" t="s">
        <v>407</v>
      </c>
      <c r="C57" s="183">
        <v>5</v>
      </c>
      <c r="D57" s="202"/>
      <c r="E57" s="203"/>
      <c r="F57" s="134">
        <f>C57*D57</f>
        <v>0</v>
      </c>
      <c r="G57" s="186">
        <f>C57*E57</f>
        <v>0</v>
      </c>
      <c r="H57" s="204">
        <f>SUM(F57:G57)</f>
        <v>0</v>
      </c>
    </row>
    <row r="58" spans="1:8" ht="15">
      <c r="A58" s="183" t="s">
        <v>434</v>
      </c>
      <c r="C58" s="183"/>
      <c r="D58" s="202"/>
      <c r="E58" s="203"/>
      <c r="F58" s="134"/>
      <c r="G58" s="186"/>
      <c r="H58" s="177"/>
    </row>
    <row r="59" spans="1:8" ht="15">
      <c r="A59" s="183" t="s">
        <v>435</v>
      </c>
      <c r="B59" s="175" t="s">
        <v>436</v>
      </c>
      <c r="C59" s="183">
        <v>7</v>
      </c>
      <c r="D59" s="203"/>
      <c r="E59" s="203"/>
      <c r="F59" s="134">
        <f>C59*D59</f>
        <v>0</v>
      </c>
      <c r="G59" s="186">
        <f>C59*E59</f>
        <v>0</v>
      </c>
      <c r="H59" s="186">
        <f>SUM(F59:G59)</f>
        <v>0</v>
      </c>
    </row>
    <row r="60" spans="1:8" ht="15">
      <c r="A60" s="183" t="s">
        <v>437</v>
      </c>
      <c r="B60" s="175" t="s">
        <v>436</v>
      </c>
      <c r="C60" s="183">
        <v>6</v>
      </c>
      <c r="D60" s="202"/>
      <c r="E60" s="203"/>
      <c r="F60" s="134">
        <f>C60*D60</f>
        <v>0</v>
      </c>
      <c r="G60" s="186">
        <f>C60*E60</f>
        <v>0</v>
      </c>
      <c r="H60" s="186">
        <f>SUM(F60:G60)</f>
        <v>0</v>
      </c>
    </row>
    <row r="61" spans="1:8" ht="15">
      <c r="A61" s="183" t="s">
        <v>438</v>
      </c>
      <c r="B61" s="175" t="s">
        <v>439</v>
      </c>
      <c r="C61" s="183">
        <v>2</v>
      </c>
      <c r="D61" s="202"/>
      <c r="E61" s="203"/>
      <c r="F61" s="134">
        <f>C61*D61</f>
        <v>0</v>
      </c>
      <c r="G61" s="186">
        <f>C61*E61</f>
        <v>0</v>
      </c>
      <c r="H61" s="186">
        <f>SUM(F61:G61)</f>
        <v>0</v>
      </c>
    </row>
    <row r="62" spans="1:8" ht="15">
      <c r="A62" s="183" t="s">
        <v>440</v>
      </c>
      <c r="B62" s="175" t="s">
        <v>436</v>
      </c>
      <c r="C62" s="183">
        <v>3</v>
      </c>
      <c r="D62" s="202"/>
      <c r="E62" s="203"/>
      <c r="F62" s="134">
        <f>C62*D62</f>
        <v>0</v>
      </c>
      <c r="G62" s="186">
        <f>C62*E62</f>
        <v>0</v>
      </c>
      <c r="H62" s="186">
        <f>SUM(F62:G62)</f>
        <v>0</v>
      </c>
    </row>
    <row r="63" spans="1:8" ht="15">
      <c r="A63" s="183" t="s">
        <v>441</v>
      </c>
      <c r="B63" s="175" t="s">
        <v>436</v>
      </c>
      <c r="C63" s="183">
        <v>1</v>
      </c>
      <c r="D63" s="202"/>
      <c r="E63" s="203"/>
      <c r="F63" s="134">
        <f>C63*D63</f>
        <v>0</v>
      </c>
      <c r="G63" s="186">
        <f>C63*E63</f>
        <v>0</v>
      </c>
      <c r="H63" s="186">
        <f>SUM(F63:G63)</f>
        <v>0</v>
      </c>
    </row>
    <row r="64" spans="1:8" ht="15">
      <c r="A64" s="183" t="s">
        <v>327</v>
      </c>
      <c r="C64" s="183"/>
      <c r="D64" s="202"/>
      <c r="E64" s="203"/>
      <c r="F64" s="134"/>
      <c r="G64" s="186"/>
      <c r="H64" s="204"/>
    </row>
    <row r="65" spans="1:8" ht="15">
      <c r="A65" s="183" t="s">
        <v>442</v>
      </c>
      <c r="B65" s="165" t="s">
        <v>325</v>
      </c>
      <c r="C65" s="164">
        <v>2</v>
      </c>
      <c r="D65" s="202"/>
      <c r="E65" s="203"/>
      <c r="F65" s="134">
        <f aca="true" t="shared" si="6" ref="F65:F71">C65*D65</f>
        <v>0</v>
      </c>
      <c r="G65" s="186">
        <f aca="true" t="shared" si="7" ref="G65:G71">C65*E65</f>
        <v>0</v>
      </c>
      <c r="H65" s="188">
        <f aca="true" t="shared" si="8" ref="H65:H71">SUM(F65:G65)</f>
        <v>0</v>
      </c>
    </row>
    <row r="66" spans="1:8" ht="15">
      <c r="A66" s="164" t="s">
        <v>443</v>
      </c>
      <c r="B66" s="165" t="s">
        <v>325</v>
      </c>
      <c r="C66" s="164">
        <v>8</v>
      </c>
      <c r="D66" s="205"/>
      <c r="E66" s="206"/>
      <c r="F66" s="134">
        <f t="shared" si="6"/>
        <v>0</v>
      </c>
      <c r="G66" s="186">
        <f t="shared" si="7"/>
        <v>0</v>
      </c>
      <c r="H66" s="188">
        <f t="shared" si="8"/>
        <v>0</v>
      </c>
    </row>
    <row r="67" spans="1:8" ht="15">
      <c r="A67" s="164" t="s">
        <v>444</v>
      </c>
      <c r="B67" s="175" t="s">
        <v>439</v>
      </c>
      <c r="C67" s="183">
        <v>6</v>
      </c>
      <c r="D67" s="202"/>
      <c r="E67" s="203"/>
      <c r="F67" s="134">
        <f t="shared" si="6"/>
        <v>0</v>
      </c>
      <c r="G67" s="186">
        <f t="shared" si="7"/>
        <v>0</v>
      </c>
      <c r="H67" s="186">
        <f t="shared" si="8"/>
        <v>0</v>
      </c>
    </row>
    <row r="68" spans="1:8" ht="15">
      <c r="A68" s="164" t="s">
        <v>445</v>
      </c>
      <c r="B68" s="175" t="s">
        <v>436</v>
      </c>
      <c r="C68" s="183">
        <v>1</v>
      </c>
      <c r="D68" s="202"/>
      <c r="E68" s="203"/>
      <c r="F68" s="134">
        <f t="shared" si="6"/>
        <v>0</v>
      </c>
      <c r="G68" s="186">
        <f t="shared" si="7"/>
        <v>0</v>
      </c>
      <c r="H68" s="186">
        <f t="shared" si="8"/>
        <v>0</v>
      </c>
    </row>
    <row r="69" spans="1:8" ht="15">
      <c r="A69" s="164" t="s">
        <v>446</v>
      </c>
      <c r="B69" s="175" t="s">
        <v>436</v>
      </c>
      <c r="C69" s="183">
        <v>3</v>
      </c>
      <c r="D69" s="202"/>
      <c r="E69" s="203"/>
      <c r="F69" s="134">
        <f t="shared" si="6"/>
        <v>0</v>
      </c>
      <c r="G69" s="186">
        <f t="shared" si="7"/>
        <v>0</v>
      </c>
      <c r="H69" s="186">
        <f t="shared" si="8"/>
        <v>0</v>
      </c>
    </row>
    <row r="70" spans="1:8" ht="15">
      <c r="A70" s="164" t="s">
        <v>447</v>
      </c>
      <c r="B70" s="175" t="s">
        <v>436</v>
      </c>
      <c r="C70" s="183">
        <v>23</v>
      </c>
      <c r="D70" s="202"/>
      <c r="E70" s="203"/>
      <c r="F70" s="134">
        <f t="shared" si="6"/>
        <v>0</v>
      </c>
      <c r="G70" s="186">
        <f t="shared" si="7"/>
        <v>0</v>
      </c>
      <c r="H70" s="186">
        <f t="shared" si="8"/>
        <v>0</v>
      </c>
    </row>
    <row r="71" spans="1:8" ht="15">
      <c r="A71" s="164" t="s">
        <v>448</v>
      </c>
      <c r="B71" s="175" t="s">
        <v>436</v>
      </c>
      <c r="C71" s="183">
        <v>5</v>
      </c>
      <c r="D71" s="202"/>
      <c r="E71" s="203"/>
      <c r="F71" s="134">
        <f t="shared" si="6"/>
        <v>0</v>
      </c>
      <c r="G71" s="186">
        <f t="shared" si="7"/>
        <v>0</v>
      </c>
      <c r="H71" s="186">
        <f t="shared" si="8"/>
        <v>0</v>
      </c>
    </row>
    <row r="72" spans="1:8" ht="15">
      <c r="A72" s="183" t="s">
        <v>338</v>
      </c>
      <c r="C72" s="183"/>
      <c r="D72" s="202"/>
      <c r="E72" s="203"/>
      <c r="F72" s="134"/>
      <c r="G72" s="186"/>
      <c r="H72" s="177"/>
    </row>
    <row r="73" spans="1:8" ht="15">
      <c r="A73" s="183" t="s">
        <v>449</v>
      </c>
      <c r="B73" s="175" t="s">
        <v>436</v>
      </c>
      <c r="C73" s="183">
        <v>1</v>
      </c>
      <c r="D73" s="202"/>
      <c r="E73" s="203"/>
      <c r="F73" s="134">
        <f>C73*D73</f>
        <v>0</v>
      </c>
      <c r="G73" s="186">
        <f>C73*E73</f>
        <v>0</v>
      </c>
      <c r="H73" s="186">
        <f>SUM(F73:G73)</f>
        <v>0</v>
      </c>
    </row>
    <row r="74" spans="1:8" ht="15">
      <c r="A74" s="183" t="s">
        <v>450</v>
      </c>
      <c r="B74" s="175" t="s">
        <v>436</v>
      </c>
      <c r="C74" s="183">
        <v>2</v>
      </c>
      <c r="D74" s="202"/>
      <c r="E74" s="203"/>
      <c r="F74" s="134">
        <f>C74*D74</f>
        <v>0</v>
      </c>
      <c r="G74" s="186">
        <f>C74*E74</f>
        <v>0</v>
      </c>
      <c r="H74" s="186">
        <f>SUM(F74:G74)</f>
        <v>0</v>
      </c>
    </row>
    <row r="75" spans="1:8" ht="15.75" thickBot="1">
      <c r="A75" s="189" t="s">
        <v>451</v>
      </c>
      <c r="B75" s="190" t="s">
        <v>407</v>
      </c>
      <c r="C75" s="189">
        <v>98</v>
      </c>
      <c r="D75" s="207"/>
      <c r="E75" s="208"/>
      <c r="F75" s="140">
        <f>C75*D75</f>
        <v>0</v>
      </c>
      <c r="G75" s="192">
        <f>C75*E75</f>
        <v>0</v>
      </c>
      <c r="H75" s="192">
        <f>SUM(F75:G75)</f>
        <v>0</v>
      </c>
    </row>
    <row r="76" spans="1:8" ht="15">
      <c r="A76" s="183" t="s">
        <v>336</v>
      </c>
      <c r="C76" s="183"/>
      <c r="D76" s="176"/>
      <c r="E76" s="177"/>
      <c r="F76" s="134">
        <f>SUM(F48:F75)</f>
        <v>0</v>
      </c>
      <c r="G76" s="186">
        <f>SUM(G48:G75)</f>
        <v>0</v>
      </c>
      <c r="H76" s="204">
        <f>SUM(H48:H75)</f>
        <v>0</v>
      </c>
    </row>
    <row r="77" spans="1:8" ht="15">
      <c r="A77" s="169" t="s">
        <v>313</v>
      </c>
      <c r="B77" s="170"/>
      <c r="C77" s="195">
        <v>0.03</v>
      </c>
      <c r="D77" s="171"/>
      <c r="E77" s="172"/>
      <c r="F77" s="95"/>
      <c r="G77" s="196">
        <f>PRODUCT(G76,C77)</f>
        <v>0</v>
      </c>
      <c r="H77" s="196">
        <f>SUM(G77)</f>
        <v>0</v>
      </c>
    </row>
    <row r="78" spans="1:8" ht="15.75" thickBot="1">
      <c r="A78" s="183" t="s">
        <v>337</v>
      </c>
      <c r="C78" s="183"/>
      <c r="D78" s="176"/>
      <c r="E78" s="177"/>
      <c r="F78" s="101"/>
      <c r="H78" s="192">
        <f>SUM(H76:H77)</f>
        <v>0</v>
      </c>
    </row>
    <row r="79" spans="4:7" ht="15">
      <c r="D79" s="176"/>
      <c r="G79" s="167"/>
    </row>
    <row r="80" spans="4:7" ht="15">
      <c r="D80" s="176"/>
      <c r="G80" s="167"/>
    </row>
    <row r="81" spans="4:7" ht="15">
      <c r="D81" s="176"/>
      <c r="G81" s="167"/>
    </row>
    <row r="82" spans="3:8" ht="15">
      <c r="C82" s="183"/>
      <c r="D82" s="176"/>
      <c r="E82" s="177" t="s">
        <v>497</v>
      </c>
      <c r="F82" s="101"/>
      <c r="H82" s="167"/>
    </row>
    <row r="83" spans="1:8" ht="15">
      <c r="A83" s="174" t="s">
        <v>452</v>
      </c>
      <c r="C83" s="183"/>
      <c r="D83" s="176"/>
      <c r="E83" s="177"/>
      <c r="F83" s="101"/>
      <c r="H83" s="167"/>
    </row>
    <row r="84" spans="1:8" ht="15">
      <c r="A84" s="178" t="s">
        <v>293</v>
      </c>
      <c r="B84" s="179" t="s">
        <v>316</v>
      </c>
      <c r="C84" s="178" t="s">
        <v>295</v>
      </c>
      <c r="D84" s="180" t="s">
        <v>296</v>
      </c>
      <c r="E84" s="181" t="s">
        <v>297</v>
      </c>
      <c r="F84" s="106" t="s">
        <v>298</v>
      </c>
      <c r="G84" s="181" t="s">
        <v>299</v>
      </c>
      <c r="H84" s="181" t="s">
        <v>300</v>
      </c>
    </row>
    <row r="85" spans="1:8" ht="15">
      <c r="A85" s="164" t="s">
        <v>453</v>
      </c>
      <c r="B85" s="165"/>
      <c r="C85" s="164"/>
      <c r="D85" s="205"/>
      <c r="E85" s="167"/>
      <c r="F85" s="101"/>
      <c r="H85" s="177"/>
    </row>
    <row r="86" spans="1:8" ht="15">
      <c r="A86" s="209" t="s">
        <v>454</v>
      </c>
      <c r="B86" s="165" t="s">
        <v>341</v>
      </c>
      <c r="C86" s="164">
        <v>23</v>
      </c>
      <c r="D86" s="202"/>
      <c r="E86" s="203"/>
      <c r="F86" s="112">
        <f>C86*D86</f>
        <v>0</v>
      </c>
      <c r="G86" s="186">
        <f>C86*E86</f>
        <v>0</v>
      </c>
      <c r="H86" s="186">
        <f>SUM(F86:G86)</f>
        <v>0</v>
      </c>
    </row>
    <row r="87" spans="1:8" ht="15">
      <c r="A87" s="164" t="s">
        <v>455</v>
      </c>
      <c r="C87" s="183"/>
      <c r="D87" s="202"/>
      <c r="E87" s="203"/>
      <c r="F87" s="112"/>
      <c r="G87" s="186"/>
      <c r="H87" s="177"/>
    </row>
    <row r="88" spans="1:8" ht="15">
      <c r="A88" s="164" t="s">
        <v>456</v>
      </c>
      <c r="B88" s="165" t="s">
        <v>341</v>
      </c>
      <c r="C88" s="164">
        <v>28</v>
      </c>
      <c r="D88" s="202"/>
      <c r="E88" s="203"/>
      <c r="F88" s="112">
        <f>C88*D88</f>
        <v>0</v>
      </c>
      <c r="G88" s="186">
        <f>C88*E88</f>
        <v>0</v>
      </c>
      <c r="H88" s="186">
        <f>SUM(F88:G88)</f>
        <v>0</v>
      </c>
    </row>
    <row r="89" spans="1:8" ht="15">
      <c r="A89" s="164" t="s">
        <v>457</v>
      </c>
      <c r="C89" s="183"/>
      <c r="D89" s="202"/>
      <c r="E89" s="203"/>
      <c r="F89" s="112"/>
      <c r="G89" s="186"/>
      <c r="H89" s="177"/>
    </row>
    <row r="90" spans="1:8" ht="15">
      <c r="A90" s="164" t="s">
        <v>458</v>
      </c>
      <c r="B90" s="165" t="s">
        <v>459</v>
      </c>
      <c r="C90" s="164">
        <v>5</v>
      </c>
      <c r="D90" s="206"/>
      <c r="E90" s="206"/>
      <c r="F90" s="112">
        <f>C90*D90</f>
        <v>0</v>
      </c>
      <c r="G90" s="186">
        <f>C90*E90</f>
        <v>0</v>
      </c>
      <c r="H90" s="188">
        <f>SUM(F90:G90)</f>
        <v>0</v>
      </c>
    </row>
    <row r="91" spans="1:8" ht="15">
      <c r="A91" s="164" t="s">
        <v>460</v>
      </c>
      <c r="C91" s="183"/>
      <c r="D91" s="202"/>
      <c r="E91" s="203"/>
      <c r="F91" s="112"/>
      <c r="G91" s="186"/>
      <c r="H91" s="177"/>
    </row>
    <row r="92" spans="1:8" ht="15">
      <c r="A92" s="164" t="s">
        <v>461</v>
      </c>
      <c r="B92" s="165" t="s">
        <v>341</v>
      </c>
      <c r="C92" s="164">
        <v>4</v>
      </c>
      <c r="D92" s="205"/>
      <c r="E92" s="206"/>
      <c r="F92" s="129">
        <f>C92*D92</f>
        <v>0</v>
      </c>
      <c r="G92" s="188">
        <f>C92*E92</f>
        <v>0</v>
      </c>
      <c r="H92" s="188">
        <f>SUM(F92:G92)</f>
        <v>0</v>
      </c>
    </row>
    <row r="93" spans="1:8" ht="15.75" thickBot="1">
      <c r="A93" s="189" t="s">
        <v>462</v>
      </c>
      <c r="B93" s="190" t="s">
        <v>341</v>
      </c>
      <c r="C93" s="189">
        <v>13</v>
      </c>
      <c r="D93" s="207"/>
      <c r="E93" s="208"/>
      <c r="F93" s="118">
        <f>C93*D93</f>
        <v>0</v>
      </c>
      <c r="G93" s="192">
        <f>C93*E93</f>
        <v>0</v>
      </c>
      <c r="H93" s="192">
        <f>SUM(F93:G93)</f>
        <v>0</v>
      </c>
    </row>
    <row r="94" spans="1:8" ht="15">
      <c r="A94" s="183" t="s">
        <v>336</v>
      </c>
      <c r="C94" s="183"/>
      <c r="D94" s="210"/>
      <c r="E94" s="167"/>
      <c r="F94" s="129">
        <f>SUM(F86:F93)</f>
        <v>0</v>
      </c>
      <c r="G94" s="188">
        <f>SUM(G86:G93)</f>
        <v>0</v>
      </c>
      <c r="H94" s="188">
        <f>SUM(H86:H93)</f>
        <v>0</v>
      </c>
    </row>
    <row r="95" spans="1:8" ht="15.75" thickBot="1">
      <c r="A95" s="169" t="s">
        <v>313</v>
      </c>
      <c r="B95" s="170"/>
      <c r="C95" s="195">
        <v>0.03</v>
      </c>
      <c r="D95" s="211"/>
      <c r="E95" s="172"/>
      <c r="F95" s="95"/>
      <c r="G95" s="196">
        <f>PRODUCT(G94,C95)</f>
        <v>0</v>
      </c>
      <c r="H95" s="196">
        <f>SUM(G95)</f>
        <v>0</v>
      </c>
    </row>
    <row r="96" spans="1:8" ht="15.75" thickBot="1">
      <c r="A96" s="164" t="s">
        <v>463</v>
      </c>
      <c r="B96" s="165"/>
      <c r="C96" s="164"/>
      <c r="D96" s="210"/>
      <c r="E96" s="167"/>
      <c r="F96" s="89"/>
      <c r="G96" s="167"/>
      <c r="H96" s="212">
        <f>SUM(H94:H95)</f>
        <v>0</v>
      </c>
    </row>
    <row r="97" spans="1:7" ht="15">
      <c r="A97" s="164"/>
      <c r="B97" s="165"/>
      <c r="C97" s="210"/>
      <c r="D97" s="166"/>
      <c r="E97" s="89"/>
      <c r="F97" s="167"/>
      <c r="G97" s="167"/>
    </row>
    <row r="98" spans="1:7" ht="15">
      <c r="A98" s="213" t="s">
        <v>464</v>
      </c>
      <c r="B98" s="165"/>
      <c r="C98" s="210"/>
      <c r="D98" s="166"/>
      <c r="E98" s="89"/>
      <c r="F98" s="167"/>
      <c r="G98" s="167"/>
    </row>
    <row r="99" spans="1:8" ht="15">
      <c r="A99" s="178" t="s">
        <v>293</v>
      </c>
      <c r="B99" s="179" t="s">
        <v>294</v>
      </c>
      <c r="C99" s="178" t="s">
        <v>295</v>
      </c>
      <c r="D99" s="180" t="s">
        <v>465</v>
      </c>
      <c r="E99" s="181" t="s">
        <v>297</v>
      </c>
      <c r="F99" s="106" t="s">
        <v>298</v>
      </c>
      <c r="G99" s="181" t="s">
        <v>299</v>
      </c>
      <c r="H99" s="181" t="s">
        <v>300</v>
      </c>
    </row>
    <row r="100" spans="1:8" ht="15">
      <c r="A100" s="183" t="s">
        <v>466</v>
      </c>
      <c r="B100" s="165"/>
      <c r="C100" s="164"/>
      <c r="D100" s="210"/>
      <c r="E100" s="167"/>
      <c r="F100" s="129"/>
      <c r="G100" s="167"/>
      <c r="H100" s="188"/>
    </row>
    <row r="101" spans="1:8" ht="15">
      <c r="A101" s="183" t="s">
        <v>467</v>
      </c>
      <c r="B101" s="165" t="s">
        <v>468</v>
      </c>
      <c r="C101" s="164">
        <v>1</v>
      </c>
      <c r="D101" s="205"/>
      <c r="E101" s="206"/>
      <c r="F101" s="129">
        <f>C101*D101</f>
        <v>0</v>
      </c>
      <c r="G101" s="188">
        <f>C101*E101</f>
        <v>0</v>
      </c>
      <c r="H101" s="188">
        <f>SUM(F101:G101)</f>
        <v>0</v>
      </c>
    </row>
    <row r="102" spans="1:8" ht="15">
      <c r="A102" s="164"/>
      <c r="C102" s="183"/>
      <c r="D102" s="210"/>
      <c r="E102" s="203"/>
      <c r="F102" s="129"/>
      <c r="G102" s="188"/>
      <c r="H102" s="186"/>
    </row>
    <row r="103" spans="1:8" ht="15">
      <c r="A103" s="183" t="s">
        <v>469</v>
      </c>
      <c r="B103" s="165"/>
      <c r="C103" s="164"/>
      <c r="D103" s="210"/>
      <c r="E103" s="167"/>
      <c r="F103" s="129"/>
      <c r="G103" s="188"/>
      <c r="H103" s="188"/>
    </row>
    <row r="104" spans="1:8" ht="15">
      <c r="A104" s="183" t="s">
        <v>470</v>
      </c>
      <c r="B104" s="165" t="s">
        <v>468</v>
      </c>
      <c r="C104" s="164">
        <v>1</v>
      </c>
      <c r="D104" s="205"/>
      <c r="E104" s="206"/>
      <c r="F104" s="129">
        <f>C104*D104</f>
        <v>0</v>
      </c>
      <c r="G104" s="188">
        <f>C104*E104</f>
        <v>0</v>
      </c>
      <c r="H104" s="188">
        <f>SUM(F104:G104)</f>
        <v>0</v>
      </c>
    </row>
    <row r="105" spans="1:8" ht="15">
      <c r="A105" s="164"/>
      <c r="C105" s="183"/>
      <c r="D105" s="210"/>
      <c r="E105" s="203"/>
      <c r="F105" s="129"/>
      <c r="G105" s="188"/>
      <c r="H105" s="186"/>
    </row>
    <row r="106" spans="1:8" ht="15.75" thickBot="1">
      <c r="A106" s="189" t="s">
        <v>471</v>
      </c>
      <c r="B106" s="190" t="s">
        <v>468</v>
      </c>
      <c r="C106" s="189">
        <v>1</v>
      </c>
      <c r="D106" s="207"/>
      <c r="E106" s="208"/>
      <c r="F106" s="118">
        <f>C106*D106</f>
        <v>0</v>
      </c>
      <c r="G106" s="192">
        <f>C106*E106</f>
        <v>0</v>
      </c>
      <c r="H106" s="188">
        <f>SUM(F106:G106)</f>
        <v>0</v>
      </c>
    </row>
    <row r="107" spans="1:8" ht="15.75" thickBot="1">
      <c r="A107" s="164" t="s">
        <v>472</v>
      </c>
      <c r="B107" s="165"/>
      <c r="C107" s="164"/>
      <c r="D107" s="210"/>
      <c r="E107" s="167"/>
      <c r="F107" s="129">
        <f>SUM(F101:F106)</f>
        <v>0</v>
      </c>
      <c r="G107" s="188">
        <f>SUM(G101:G106)</f>
        <v>0</v>
      </c>
      <c r="H107" s="212">
        <f>SUM(H101:H106)</f>
        <v>0</v>
      </c>
    </row>
    <row r="108" spans="1:7" ht="15">
      <c r="A108" s="164"/>
      <c r="B108" s="165"/>
      <c r="C108" s="210"/>
      <c r="D108" s="166"/>
      <c r="E108" s="89"/>
      <c r="F108" s="167"/>
      <c r="G108" s="167"/>
    </row>
    <row r="109" spans="1:7" ht="15">
      <c r="A109" s="213" t="s">
        <v>473</v>
      </c>
      <c r="B109" s="165"/>
      <c r="C109" s="210"/>
      <c r="D109" s="166"/>
      <c r="E109" s="89"/>
      <c r="F109" s="167"/>
      <c r="G109" s="167"/>
    </row>
    <row r="110" spans="1:8" ht="15">
      <c r="A110" s="178" t="s">
        <v>293</v>
      </c>
      <c r="B110" s="179" t="s">
        <v>316</v>
      </c>
      <c r="C110" s="178" t="s">
        <v>295</v>
      </c>
      <c r="D110" s="180" t="s">
        <v>296</v>
      </c>
      <c r="E110" s="181" t="s">
        <v>297</v>
      </c>
      <c r="F110" s="106" t="s">
        <v>298</v>
      </c>
      <c r="G110" s="181" t="s">
        <v>299</v>
      </c>
      <c r="H110" s="181" t="s">
        <v>300</v>
      </c>
    </row>
    <row r="111" spans="1:8" ht="15">
      <c r="A111" s="164" t="s">
        <v>488</v>
      </c>
      <c r="B111" s="165" t="s">
        <v>303</v>
      </c>
      <c r="C111" s="164">
        <v>145</v>
      </c>
      <c r="D111" s="187"/>
      <c r="E111" s="187"/>
      <c r="F111" s="129">
        <f aca="true" t="shared" si="9" ref="F111:F120">C111*D111</f>
        <v>0</v>
      </c>
      <c r="G111" s="188">
        <f aca="true" t="shared" si="10" ref="G111:G120">C111*E111</f>
        <v>0</v>
      </c>
      <c r="H111" s="188">
        <f aca="true" t="shared" si="11" ref="H111:H120">SUM(F111:G111)</f>
        <v>0</v>
      </c>
    </row>
    <row r="112" spans="1:8" ht="15">
      <c r="A112" s="164" t="s">
        <v>489</v>
      </c>
      <c r="B112" s="165" t="s">
        <v>303</v>
      </c>
      <c r="C112" s="164">
        <v>12</v>
      </c>
      <c r="D112" s="187"/>
      <c r="E112" s="187"/>
      <c r="F112" s="129">
        <f t="shared" si="9"/>
        <v>0</v>
      </c>
      <c r="G112" s="188">
        <f t="shared" si="10"/>
        <v>0</v>
      </c>
      <c r="H112" s="188">
        <f t="shared" si="11"/>
        <v>0</v>
      </c>
    </row>
    <row r="113" spans="1:8" ht="15">
      <c r="A113" s="164" t="s">
        <v>474</v>
      </c>
      <c r="B113" s="165" t="s">
        <v>341</v>
      </c>
      <c r="C113" s="164">
        <v>4</v>
      </c>
      <c r="D113" s="202"/>
      <c r="E113" s="203"/>
      <c r="F113" s="112">
        <f t="shared" si="9"/>
        <v>0</v>
      </c>
      <c r="G113" s="186">
        <f t="shared" si="10"/>
        <v>0</v>
      </c>
      <c r="H113" s="186">
        <f t="shared" si="11"/>
        <v>0</v>
      </c>
    </row>
    <row r="114" spans="1:8" ht="15">
      <c r="A114" s="164" t="s">
        <v>475</v>
      </c>
      <c r="B114" s="165" t="s">
        <v>303</v>
      </c>
      <c r="C114" s="164">
        <v>26</v>
      </c>
      <c r="D114" s="187"/>
      <c r="E114" s="187"/>
      <c r="F114" s="129">
        <f t="shared" si="9"/>
        <v>0</v>
      </c>
      <c r="G114" s="188">
        <f t="shared" si="10"/>
        <v>0</v>
      </c>
      <c r="H114" s="188">
        <f t="shared" si="11"/>
        <v>0</v>
      </c>
    </row>
    <row r="115" spans="1:8" ht="15">
      <c r="A115" s="164" t="s">
        <v>476</v>
      </c>
      <c r="B115" s="165" t="s">
        <v>341</v>
      </c>
      <c r="C115" s="164">
        <v>84</v>
      </c>
      <c r="D115" s="202"/>
      <c r="E115" s="203"/>
      <c r="F115" s="112">
        <f t="shared" si="9"/>
        <v>0</v>
      </c>
      <c r="G115" s="186">
        <f t="shared" si="10"/>
        <v>0</v>
      </c>
      <c r="H115" s="186">
        <f t="shared" si="11"/>
        <v>0</v>
      </c>
    </row>
    <row r="116" spans="1:8" ht="15">
      <c r="A116" s="164" t="s">
        <v>477</v>
      </c>
      <c r="B116" s="165" t="s">
        <v>341</v>
      </c>
      <c r="C116" s="164">
        <v>15</v>
      </c>
      <c r="D116" s="202"/>
      <c r="E116" s="203"/>
      <c r="F116" s="112">
        <f t="shared" si="9"/>
        <v>0</v>
      </c>
      <c r="G116" s="186">
        <f t="shared" si="10"/>
        <v>0</v>
      </c>
      <c r="H116" s="186">
        <f t="shared" si="11"/>
        <v>0</v>
      </c>
    </row>
    <row r="117" spans="1:8" ht="15">
      <c r="A117" s="164" t="s">
        <v>478</v>
      </c>
      <c r="B117" s="165" t="s">
        <v>341</v>
      </c>
      <c r="C117" s="164">
        <v>14</v>
      </c>
      <c r="D117" s="202"/>
      <c r="E117" s="203"/>
      <c r="F117" s="112">
        <f t="shared" si="9"/>
        <v>0</v>
      </c>
      <c r="G117" s="186">
        <f t="shared" si="10"/>
        <v>0</v>
      </c>
      <c r="H117" s="186">
        <f t="shared" si="11"/>
        <v>0</v>
      </c>
    </row>
    <row r="118" spans="1:8" ht="15">
      <c r="A118" s="164" t="s">
        <v>479</v>
      </c>
      <c r="B118" s="165" t="s">
        <v>341</v>
      </c>
      <c r="C118" s="164">
        <v>5</v>
      </c>
      <c r="D118" s="202"/>
      <c r="E118" s="203"/>
      <c r="F118" s="112">
        <f t="shared" si="9"/>
        <v>0</v>
      </c>
      <c r="G118" s="186">
        <f t="shared" si="10"/>
        <v>0</v>
      </c>
      <c r="H118" s="186">
        <f t="shared" si="11"/>
        <v>0</v>
      </c>
    </row>
    <row r="119" spans="1:8" ht="15">
      <c r="A119" s="164" t="s">
        <v>480</v>
      </c>
      <c r="B119" s="165" t="s">
        <v>341</v>
      </c>
      <c r="C119" s="164">
        <v>1</v>
      </c>
      <c r="D119" s="202"/>
      <c r="E119" s="203"/>
      <c r="F119" s="112">
        <f t="shared" si="9"/>
        <v>0</v>
      </c>
      <c r="G119" s="186">
        <f t="shared" si="10"/>
        <v>0</v>
      </c>
      <c r="H119" s="186">
        <f t="shared" si="11"/>
        <v>0</v>
      </c>
    </row>
    <row r="120" spans="1:8" ht="15">
      <c r="A120" s="164" t="s">
        <v>481</v>
      </c>
      <c r="B120" s="165" t="s">
        <v>341</v>
      </c>
      <c r="C120" s="164">
        <v>3</v>
      </c>
      <c r="D120" s="202"/>
      <c r="E120" s="203"/>
      <c r="F120" s="112">
        <f t="shared" si="9"/>
        <v>0</v>
      </c>
      <c r="G120" s="186">
        <f t="shared" si="10"/>
        <v>0</v>
      </c>
      <c r="H120" s="186">
        <f t="shared" si="11"/>
        <v>0</v>
      </c>
    </row>
    <row r="121" spans="1:8" ht="15">
      <c r="A121" s="164" t="s">
        <v>482</v>
      </c>
      <c r="C121" s="183"/>
      <c r="D121" s="206"/>
      <c r="E121" s="89"/>
      <c r="F121" s="188"/>
      <c r="G121" s="167"/>
      <c r="H121" s="188"/>
    </row>
    <row r="122" ht="15">
      <c r="A122" s="164" t="s">
        <v>483</v>
      </c>
    </row>
    <row r="123" spans="1:8" ht="15.75" thickBot="1">
      <c r="A123" s="189" t="s">
        <v>484</v>
      </c>
      <c r="B123" s="190" t="s">
        <v>341</v>
      </c>
      <c r="C123" s="189">
        <v>3</v>
      </c>
      <c r="D123" s="207"/>
      <c r="E123" s="208"/>
      <c r="F123" s="118">
        <f>C123*D123</f>
        <v>0</v>
      </c>
      <c r="G123" s="192">
        <f>C123*E123</f>
        <v>0</v>
      </c>
      <c r="H123" s="192">
        <f>SUM(F123:G123)</f>
        <v>0</v>
      </c>
    </row>
    <row r="124" spans="1:8" ht="15">
      <c r="A124" s="183" t="s">
        <v>336</v>
      </c>
      <c r="C124" s="183"/>
      <c r="D124" s="210"/>
      <c r="E124" s="167"/>
      <c r="F124" s="129">
        <f>SUM(F111:F123)</f>
        <v>0</v>
      </c>
      <c r="G124" s="188">
        <f>SUM(G111:G123)</f>
        <v>0</v>
      </c>
      <c r="H124" s="188">
        <f>SUM(H111:H123)</f>
        <v>0</v>
      </c>
    </row>
    <row r="125" spans="1:8" ht="15.75" thickBot="1">
      <c r="A125" s="169" t="s">
        <v>313</v>
      </c>
      <c r="B125" s="170"/>
      <c r="C125" s="195">
        <v>0.03</v>
      </c>
      <c r="D125" s="211"/>
      <c r="E125" s="172"/>
      <c r="F125" s="95"/>
      <c r="G125" s="196">
        <f>PRODUCT(G124,C125)</f>
        <v>0</v>
      </c>
      <c r="H125" s="196">
        <f>SUM(G125)</f>
        <v>0</v>
      </c>
    </row>
    <row r="126" spans="1:8" ht="15.75" thickBot="1">
      <c r="A126" s="164" t="s">
        <v>485</v>
      </c>
      <c r="B126" s="165"/>
      <c r="C126" s="164"/>
      <c r="D126" s="210"/>
      <c r="E126" s="167"/>
      <c r="F126" s="89"/>
      <c r="G126" s="167"/>
      <c r="H126" s="212">
        <f>SUM(H124:H125)</f>
        <v>0</v>
      </c>
    </row>
    <row r="127" ht="15">
      <c r="D127" s="176"/>
    </row>
    <row r="129" spans="1:7" ht="15">
      <c r="A129" s="213" t="s">
        <v>362</v>
      </c>
      <c r="B129" s="165"/>
      <c r="C129" s="210"/>
      <c r="D129" s="166"/>
      <c r="E129" s="89"/>
      <c r="F129" s="167"/>
      <c r="G129" s="167"/>
    </row>
    <row r="130" spans="1:8" ht="15">
      <c r="A130" s="178" t="s">
        <v>293</v>
      </c>
      <c r="B130" s="179" t="s">
        <v>316</v>
      </c>
      <c r="C130" s="178" t="s">
        <v>295</v>
      </c>
      <c r="D130" s="180" t="s">
        <v>296</v>
      </c>
      <c r="E130" s="181" t="s">
        <v>297</v>
      </c>
      <c r="F130" s="106" t="s">
        <v>298</v>
      </c>
      <c r="G130" s="181" t="s">
        <v>299</v>
      </c>
      <c r="H130" s="181" t="s">
        <v>300</v>
      </c>
    </row>
    <row r="131" spans="1:8" ht="15">
      <c r="A131" s="164" t="s">
        <v>363</v>
      </c>
      <c r="B131" s="175" t="s">
        <v>303</v>
      </c>
      <c r="C131" s="183">
        <v>85</v>
      </c>
      <c r="D131" s="206"/>
      <c r="E131" s="89"/>
      <c r="F131" s="112">
        <f aca="true" t="shared" si="12" ref="F131:F143">C131*D131</f>
        <v>0</v>
      </c>
      <c r="G131" s="167"/>
      <c r="H131" s="188">
        <f>SUM(F131:G131)</f>
        <v>0</v>
      </c>
    </row>
    <row r="132" spans="1:8" ht="15">
      <c r="A132" s="164" t="s">
        <v>364</v>
      </c>
      <c r="B132" s="175" t="s">
        <v>303</v>
      </c>
      <c r="C132" s="183">
        <v>156</v>
      </c>
      <c r="D132" s="206"/>
      <c r="E132" s="89"/>
      <c r="F132" s="112">
        <f t="shared" si="12"/>
        <v>0</v>
      </c>
      <c r="G132" s="167"/>
      <c r="H132" s="188">
        <f>SUM(F132:G132)</f>
        <v>0</v>
      </c>
    </row>
    <row r="133" spans="1:8" ht="15">
      <c r="A133" s="164" t="s">
        <v>365</v>
      </c>
      <c r="B133" s="175" t="s">
        <v>303</v>
      </c>
      <c r="C133" s="183">
        <v>124</v>
      </c>
      <c r="D133" s="206"/>
      <c r="E133" s="89"/>
      <c r="F133" s="112">
        <f t="shared" si="12"/>
        <v>0</v>
      </c>
      <c r="G133" s="167"/>
      <c r="H133" s="188">
        <f>SUM(F133:G133)</f>
        <v>0</v>
      </c>
    </row>
    <row r="134" spans="1:8" ht="15">
      <c r="A134" s="164" t="s">
        <v>366</v>
      </c>
      <c r="B134" s="175" t="s">
        <v>149</v>
      </c>
      <c r="C134" s="183">
        <v>98</v>
      </c>
      <c r="D134" s="206"/>
      <c r="E134" s="89"/>
      <c r="F134" s="112">
        <f t="shared" si="12"/>
        <v>0</v>
      </c>
      <c r="G134" s="167"/>
      <c r="H134" s="188">
        <f>SUM(F134:G134)</f>
        <v>0</v>
      </c>
    </row>
    <row r="135" spans="1:8" ht="15">
      <c r="A135" s="164" t="s">
        <v>367</v>
      </c>
      <c r="B135" s="175" t="s">
        <v>146</v>
      </c>
      <c r="C135" s="183">
        <v>85</v>
      </c>
      <c r="D135" s="206"/>
      <c r="E135" s="89"/>
      <c r="F135" s="112">
        <f t="shared" si="12"/>
        <v>0</v>
      </c>
      <c r="G135" s="167"/>
      <c r="H135" s="188">
        <f aca="true" t="shared" si="13" ref="H135:H145">PRODUCT(E135,F135)</f>
        <v>0</v>
      </c>
    </row>
    <row r="136" spans="1:8" ht="15">
      <c r="A136" s="164" t="s">
        <v>368</v>
      </c>
      <c r="B136" s="175" t="s">
        <v>146</v>
      </c>
      <c r="C136" s="183">
        <v>156</v>
      </c>
      <c r="D136" s="206"/>
      <c r="E136" s="89"/>
      <c r="F136" s="112">
        <f t="shared" si="12"/>
        <v>0</v>
      </c>
      <c r="G136" s="167"/>
      <c r="H136" s="188">
        <f t="shared" si="13"/>
        <v>0</v>
      </c>
    </row>
    <row r="137" spans="1:8" ht="15">
      <c r="A137" s="164" t="s">
        <v>369</v>
      </c>
      <c r="B137" s="175" t="s">
        <v>146</v>
      </c>
      <c r="C137" s="183">
        <v>124</v>
      </c>
      <c r="D137" s="206"/>
      <c r="E137" s="89"/>
      <c r="F137" s="112">
        <f t="shared" si="12"/>
        <v>0</v>
      </c>
      <c r="G137" s="167"/>
      <c r="H137" s="188">
        <f t="shared" si="13"/>
        <v>0</v>
      </c>
    </row>
    <row r="138" spans="1:8" ht="15">
      <c r="A138" s="164" t="s">
        <v>370</v>
      </c>
      <c r="B138" s="175" t="s">
        <v>146</v>
      </c>
      <c r="C138" s="183">
        <v>85</v>
      </c>
      <c r="D138" s="206"/>
      <c r="E138" s="89"/>
      <c r="F138" s="112">
        <f t="shared" si="12"/>
        <v>0</v>
      </c>
      <c r="G138" s="167"/>
      <c r="H138" s="188">
        <f t="shared" si="13"/>
        <v>0</v>
      </c>
    </row>
    <row r="139" spans="1:8" ht="15">
      <c r="A139" s="164" t="s">
        <v>371</v>
      </c>
      <c r="B139" s="175" t="s">
        <v>146</v>
      </c>
      <c r="C139" s="183">
        <v>156</v>
      </c>
      <c r="D139" s="206"/>
      <c r="E139" s="89"/>
      <c r="F139" s="112">
        <f t="shared" si="12"/>
        <v>0</v>
      </c>
      <c r="G139" s="167"/>
      <c r="H139" s="188">
        <f t="shared" si="13"/>
        <v>0</v>
      </c>
    </row>
    <row r="140" spans="1:8" ht="15">
      <c r="A140" s="164" t="s">
        <v>372</v>
      </c>
      <c r="B140" s="175" t="s">
        <v>146</v>
      </c>
      <c r="C140" s="183">
        <v>124</v>
      </c>
      <c r="D140" s="206"/>
      <c r="E140" s="89"/>
      <c r="F140" s="112">
        <f t="shared" si="12"/>
        <v>0</v>
      </c>
      <c r="G140" s="167"/>
      <c r="H140" s="188">
        <f t="shared" si="13"/>
        <v>0</v>
      </c>
    </row>
    <row r="141" spans="1:8" ht="15">
      <c r="A141" s="164" t="s">
        <v>391</v>
      </c>
      <c r="B141" s="175" t="s">
        <v>149</v>
      </c>
      <c r="C141" s="183">
        <v>15</v>
      </c>
      <c r="D141" s="206"/>
      <c r="E141" s="89"/>
      <c r="F141" s="112">
        <f t="shared" si="12"/>
        <v>0</v>
      </c>
      <c r="G141" s="167"/>
      <c r="H141" s="188">
        <f t="shared" si="13"/>
        <v>0</v>
      </c>
    </row>
    <row r="142" spans="1:8" ht="15">
      <c r="A142" s="164" t="s">
        <v>392</v>
      </c>
      <c r="B142" s="175" t="s">
        <v>149</v>
      </c>
      <c r="C142" s="183">
        <v>9</v>
      </c>
      <c r="D142" s="206"/>
      <c r="E142" s="89"/>
      <c r="F142" s="112">
        <f t="shared" si="12"/>
        <v>0</v>
      </c>
      <c r="G142" s="167"/>
      <c r="H142" s="188">
        <f t="shared" si="13"/>
        <v>0</v>
      </c>
    </row>
    <row r="143" spans="1:8" ht="15">
      <c r="A143" s="164" t="s">
        <v>373</v>
      </c>
      <c r="B143" s="175" t="s">
        <v>393</v>
      </c>
      <c r="C143" s="183">
        <v>80</v>
      </c>
      <c r="D143" s="206"/>
      <c r="E143" s="89"/>
      <c r="F143" s="112">
        <f t="shared" si="12"/>
        <v>0</v>
      </c>
      <c r="G143" s="167"/>
      <c r="H143" s="188">
        <f t="shared" si="13"/>
        <v>0</v>
      </c>
    </row>
    <row r="144" spans="1:8" ht="15">
      <c r="A144" s="164" t="s">
        <v>374</v>
      </c>
      <c r="C144" s="183"/>
      <c r="D144" s="206"/>
      <c r="E144" s="89"/>
      <c r="F144" s="188">
        <v>0</v>
      </c>
      <c r="G144" s="167"/>
      <c r="H144" s="188">
        <f t="shared" si="13"/>
        <v>0</v>
      </c>
    </row>
    <row r="145" spans="1:8" ht="15.75" thickBot="1">
      <c r="A145" s="189" t="s">
        <v>375</v>
      </c>
      <c r="B145" s="190"/>
      <c r="C145" s="189"/>
      <c r="D145" s="208"/>
      <c r="E145" s="146"/>
      <c r="F145" s="192">
        <v>0</v>
      </c>
      <c r="G145" s="214"/>
      <c r="H145" s="188">
        <f t="shared" si="13"/>
        <v>0</v>
      </c>
    </row>
    <row r="146" spans="1:8" ht="15.75" thickBot="1">
      <c r="A146" s="164" t="s">
        <v>376</v>
      </c>
      <c r="B146" s="165"/>
      <c r="C146" s="164"/>
      <c r="D146" s="206"/>
      <c r="E146" s="167"/>
      <c r="F146" s="129">
        <f>SUM(F131:F145)</f>
        <v>0</v>
      </c>
      <c r="G146" s="167"/>
      <c r="H146" s="148">
        <f>SUM(H131:H145)</f>
        <v>0</v>
      </c>
    </row>
    <row r="147" spans="1:7" ht="15">
      <c r="A147" s="164"/>
      <c r="C147" s="166"/>
      <c r="D147" s="166"/>
      <c r="E147" s="89"/>
      <c r="F147" s="167"/>
      <c r="G147" s="167"/>
    </row>
    <row r="148" spans="1:7" ht="15">
      <c r="A148" s="164"/>
      <c r="B148" s="165"/>
      <c r="C148" s="166"/>
      <c r="D148" s="166"/>
      <c r="E148" s="89"/>
      <c r="F148" s="167"/>
      <c r="G148" s="167"/>
    </row>
    <row r="149" spans="1:7" ht="15">
      <c r="A149" s="164"/>
      <c r="B149" s="165"/>
      <c r="C149" s="210"/>
      <c r="D149" s="166"/>
      <c r="E149" s="89"/>
      <c r="F149" s="167"/>
      <c r="G149" s="167"/>
    </row>
    <row r="150" spans="1:8" ht="15">
      <c r="A150" s="213" t="s">
        <v>486</v>
      </c>
      <c r="B150" s="165"/>
      <c r="C150" s="164"/>
      <c r="D150" s="210"/>
      <c r="E150" s="167"/>
      <c r="F150" s="129">
        <f>SUM(F25+F41+F76+F94+F107+F124+F146)</f>
        <v>0</v>
      </c>
      <c r="G150" s="188">
        <f>SUM(G25+G26+G41+G42+G76+G77+G94+G95+G107+G124+G125)</f>
        <v>0</v>
      </c>
      <c r="H150" s="188">
        <f>SUM(H27+H43+H78+H96+H107+H126+H146)</f>
        <v>0</v>
      </c>
    </row>
    <row r="151" spans="1:8" ht="15">
      <c r="A151" s="164" t="s">
        <v>378</v>
      </c>
      <c r="B151" s="165" t="s">
        <v>379</v>
      </c>
      <c r="C151" s="164">
        <v>19</v>
      </c>
      <c r="D151" s="205">
        <v>0</v>
      </c>
      <c r="E151" s="167"/>
      <c r="F151" s="89"/>
      <c r="G151" s="167"/>
      <c r="H151" s="188">
        <f>PRODUCT(C151,D151)</f>
        <v>0</v>
      </c>
    </row>
    <row r="152" spans="1:8" ht="15.75" thickBot="1">
      <c r="A152" s="189" t="s">
        <v>380</v>
      </c>
      <c r="B152" s="215"/>
      <c r="C152" s="195">
        <v>0.05</v>
      </c>
      <c r="D152" s="108">
        <v>0</v>
      </c>
      <c r="E152" s="214"/>
      <c r="F152" s="146">
        <f>PRODUCT(C152,D152)</f>
        <v>0</v>
      </c>
      <c r="G152" s="214"/>
      <c r="H152" s="192">
        <f>PRODUCT(D152,C152)</f>
        <v>0</v>
      </c>
    </row>
    <row r="153" spans="1:8" ht="15.75" thickBot="1">
      <c r="A153" s="216" t="s">
        <v>394</v>
      </c>
      <c r="B153" s="217"/>
      <c r="C153" s="218"/>
      <c r="D153" s="219"/>
      <c r="E153" s="220"/>
      <c r="F153" s="155"/>
      <c r="G153" s="220"/>
      <c r="H153" s="221">
        <f>SUM(H150:H152)</f>
        <v>0</v>
      </c>
    </row>
    <row r="154" spans="1:8" ht="15">
      <c r="A154" s="164" t="s">
        <v>381</v>
      </c>
      <c r="B154" s="222"/>
      <c r="C154" s="223">
        <v>0.21</v>
      </c>
      <c r="D154" s="210"/>
      <c r="E154" s="167"/>
      <c r="F154" s="89"/>
      <c r="G154" s="167"/>
      <c r="H154" s="188">
        <f>PRODUCT(H153,C154)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81">
      <selection activeCell="D115" sqref="D115"/>
    </sheetView>
  </sheetViews>
  <sheetFormatPr defaultColWidth="9.140625" defaultRowHeight="12.75"/>
  <cols>
    <col min="1" max="1" width="21.7109375" style="109" customWidth="1"/>
    <col min="2" max="2" width="4.7109375" style="98" customWidth="1"/>
    <col min="3" max="3" width="5.00390625" style="99" customWidth="1"/>
    <col min="4" max="4" width="8.8515625" style="100" customWidth="1"/>
    <col min="5" max="5" width="7.57421875" style="101" customWidth="1"/>
    <col min="6" max="6" width="12.421875" style="100" customWidth="1"/>
    <col min="7" max="7" width="13.57421875" style="100" customWidth="1"/>
    <col min="8" max="8" width="14.7109375" style="90" customWidth="1"/>
    <col min="9" max="16384" width="9.140625" style="90" customWidth="1"/>
  </cols>
  <sheetData>
    <row r="1" spans="1:7" s="84" customFormat="1" ht="12.75">
      <c r="A1" s="79" t="s">
        <v>290</v>
      </c>
      <c r="B1" s="80"/>
      <c r="C1" s="81"/>
      <c r="D1" s="82"/>
      <c r="E1" s="83"/>
      <c r="F1" s="82"/>
      <c r="G1" s="82"/>
    </row>
    <row r="2" spans="1:7" ht="15">
      <c r="A2" s="85" t="s">
        <v>291</v>
      </c>
      <c r="B2" s="86"/>
      <c r="C2" s="87"/>
      <c r="D2" s="88"/>
      <c r="E2" s="89"/>
      <c r="F2" s="88"/>
      <c r="G2" s="88"/>
    </row>
    <row r="3" spans="1:7" ht="15">
      <c r="A3" s="85"/>
      <c r="B3" s="86"/>
      <c r="C3" s="87"/>
      <c r="D3" s="88"/>
      <c r="E3" s="89"/>
      <c r="F3" s="88"/>
      <c r="G3" s="88"/>
    </row>
    <row r="4" spans="1:8" ht="15">
      <c r="A4" s="91"/>
      <c r="B4" s="92"/>
      <c r="C4" s="93"/>
      <c r="D4" s="94"/>
      <c r="E4" s="95"/>
      <c r="F4" s="94"/>
      <c r="G4" s="94"/>
      <c r="H4" s="96"/>
    </row>
    <row r="5" ht="15">
      <c r="A5" s="97" t="s">
        <v>292</v>
      </c>
    </row>
    <row r="6" spans="1:8" ht="15">
      <c r="A6" s="102" t="s">
        <v>293</v>
      </c>
      <c r="B6" s="103" t="s">
        <v>294</v>
      </c>
      <c r="C6" s="102" t="s">
        <v>295</v>
      </c>
      <c r="D6" s="104" t="s">
        <v>296</v>
      </c>
      <c r="E6" s="105" t="s">
        <v>297</v>
      </c>
      <c r="F6" s="106" t="s">
        <v>298</v>
      </c>
      <c r="G6" s="105" t="s">
        <v>299</v>
      </c>
      <c r="H6" s="105" t="s">
        <v>300</v>
      </c>
    </row>
    <row r="7" spans="1:8" ht="15">
      <c r="A7" s="85" t="s">
        <v>301</v>
      </c>
      <c r="B7" s="86"/>
      <c r="C7" s="85"/>
      <c r="D7" s="107"/>
      <c r="E7" s="107"/>
      <c r="F7" s="108"/>
      <c r="G7" s="88"/>
      <c r="H7" s="88"/>
    </row>
    <row r="8" spans="1:8" ht="15">
      <c r="A8" s="109" t="s">
        <v>302</v>
      </c>
      <c r="B8" s="98" t="s">
        <v>303</v>
      </c>
      <c r="C8" s="110">
        <v>517</v>
      </c>
      <c r="D8" s="111"/>
      <c r="E8" s="111"/>
      <c r="F8" s="112">
        <f aca="true" t="shared" si="0" ref="F8:F14">C8*D8</f>
        <v>0</v>
      </c>
      <c r="G8" s="113">
        <f aca="true" t="shared" si="1" ref="G8:G15">C8*E8</f>
        <v>0</v>
      </c>
      <c r="H8" s="113">
        <f aca="true" t="shared" si="2" ref="H8:H16">SUM(F8:G8)</f>
        <v>0</v>
      </c>
    </row>
    <row r="9" spans="1:8" ht="15">
      <c r="A9" s="109" t="s">
        <v>304</v>
      </c>
      <c r="B9" s="98" t="s">
        <v>303</v>
      </c>
      <c r="C9" s="109">
        <v>517</v>
      </c>
      <c r="D9" s="111"/>
      <c r="E9" s="111"/>
      <c r="F9" s="112">
        <f t="shared" si="0"/>
        <v>0</v>
      </c>
      <c r="G9" s="113">
        <f t="shared" si="1"/>
        <v>0</v>
      </c>
      <c r="H9" s="113">
        <f t="shared" si="2"/>
        <v>0</v>
      </c>
    </row>
    <row r="10" spans="1:8" ht="15">
      <c r="A10" s="109" t="s">
        <v>305</v>
      </c>
      <c r="B10" s="98" t="s">
        <v>306</v>
      </c>
      <c r="C10" s="109">
        <v>433</v>
      </c>
      <c r="D10" s="111"/>
      <c r="E10" s="111"/>
      <c r="F10" s="112">
        <f t="shared" si="0"/>
        <v>0</v>
      </c>
      <c r="G10" s="113">
        <f t="shared" si="1"/>
        <v>0</v>
      </c>
      <c r="H10" s="113">
        <f t="shared" si="2"/>
        <v>0</v>
      </c>
    </row>
    <row r="11" spans="1:8" ht="15">
      <c r="A11" s="109" t="s">
        <v>307</v>
      </c>
      <c r="B11" s="98" t="s">
        <v>306</v>
      </c>
      <c r="C11" s="109">
        <v>108</v>
      </c>
      <c r="D11" s="111"/>
      <c r="E11" s="111"/>
      <c r="F11" s="112">
        <f t="shared" si="0"/>
        <v>0</v>
      </c>
      <c r="G11" s="113">
        <f t="shared" si="1"/>
        <v>0</v>
      </c>
      <c r="H11" s="113">
        <f t="shared" si="2"/>
        <v>0</v>
      </c>
    </row>
    <row r="12" spans="1:8" ht="15">
      <c r="A12" s="109" t="s">
        <v>382</v>
      </c>
      <c r="B12" s="98" t="s">
        <v>308</v>
      </c>
      <c r="C12" s="114">
        <v>131</v>
      </c>
      <c r="D12" s="111"/>
      <c r="E12" s="111"/>
      <c r="F12" s="112">
        <f t="shared" si="0"/>
        <v>0</v>
      </c>
      <c r="G12" s="113">
        <f t="shared" si="1"/>
        <v>0</v>
      </c>
      <c r="H12" s="113">
        <f t="shared" si="2"/>
        <v>0</v>
      </c>
    </row>
    <row r="13" spans="1:8" ht="15">
      <c r="A13" s="109" t="s">
        <v>309</v>
      </c>
      <c r="B13" s="98" t="s">
        <v>146</v>
      </c>
      <c r="C13" s="109">
        <v>44</v>
      </c>
      <c r="D13" s="111"/>
      <c r="E13" s="111"/>
      <c r="F13" s="112">
        <f t="shared" si="0"/>
        <v>0</v>
      </c>
      <c r="G13" s="113">
        <f t="shared" si="1"/>
        <v>0</v>
      </c>
      <c r="H13" s="113">
        <f t="shared" si="2"/>
        <v>0</v>
      </c>
    </row>
    <row r="14" spans="1:8" ht="15">
      <c r="A14" s="109" t="s">
        <v>310</v>
      </c>
      <c r="B14" s="98" t="s">
        <v>146</v>
      </c>
      <c r="C14" s="109">
        <v>66</v>
      </c>
      <c r="D14" s="111"/>
      <c r="E14" s="111"/>
      <c r="F14" s="112">
        <f t="shared" si="0"/>
        <v>0</v>
      </c>
      <c r="G14" s="113">
        <f t="shared" si="1"/>
        <v>0</v>
      </c>
      <c r="H14" s="113">
        <f t="shared" si="2"/>
        <v>0</v>
      </c>
    </row>
    <row r="15" spans="1:8" ht="15.75" thickBot="1">
      <c r="A15" s="115" t="s">
        <v>311</v>
      </c>
      <c r="B15" s="116" t="s">
        <v>146</v>
      </c>
      <c r="C15" s="115">
        <v>314</v>
      </c>
      <c r="D15" s="117"/>
      <c r="E15" s="117"/>
      <c r="F15" s="118">
        <f>C15*D15</f>
        <v>0</v>
      </c>
      <c r="G15" s="119">
        <f t="shared" si="1"/>
        <v>0</v>
      </c>
      <c r="H15" s="119">
        <f t="shared" si="2"/>
        <v>0</v>
      </c>
    </row>
    <row r="16" spans="1:8" ht="15">
      <c r="A16" s="109" t="s">
        <v>312</v>
      </c>
      <c r="B16" s="120"/>
      <c r="C16" s="90"/>
      <c r="D16" s="99"/>
      <c r="E16" s="100"/>
      <c r="F16" s="112">
        <f>SUM(F8:F15)</f>
        <v>0</v>
      </c>
      <c r="G16" s="113">
        <f>SUM(G8:G15)</f>
        <v>0</v>
      </c>
      <c r="H16" s="113">
        <f t="shared" si="2"/>
        <v>0</v>
      </c>
    </row>
    <row r="17" spans="1:8" ht="15.75" thickBot="1">
      <c r="A17" s="91" t="s">
        <v>313</v>
      </c>
      <c r="B17" s="121"/>
      <c r="C17" s="122">
        <v>0.05</v>
      </c>
      <c r="D17" s="93"/>
      <c r="E17" s="94"/>
      <c r="F17" s="123"/>
      <c r="G17" s="124">
        <f>PRODUCT(G16,C17)</f>
        <v>0</v>
      </c>
      <c r="H17" s="124">
        <f>SUM(G17)</f>
        <v>0</v>
      </c>
    </row>
    <row r="18" spans="1:8" ht="15.75" thickBot="1">
      <c r="A18" s="109" t="s">
        <v>314</v>
      </c>
      <c r="C18" s="109"/>
      <c r="D18" s="99"/>
      <c r="E18" s="100"/>
      <c r="F18" s="101"/>
      <c r="H18" s="125">
        <f>SUM(H16:H17)</f>
        <v>0</v>
      </c>
    </row>
    <row r="19" spans="3:8" ht="15">
      <c r="C19" s="109"/>
      <c r="D19" s="99"/>
      <c r="E19" s="100"/>
      <c r="F19" s="101"/>
      <c r="H19" s="126"/>
    </row>
    <row r="20" spans="3:8" ht="15">
      <c r="C20" s="109"/>
      <c r="D20" s="99"/>
      <c r="E20" s="100"/>
      <c r="F20" s="101"/>
      <c r="H20" s="126"/>
    </row>
    <row r="21" spans="1:4" ht="15">
      <c r="A21" s="97" t="s">
        <v>315</v>
      </c>
      <c r="B21" s="127"/>
      <c r="D21" s="99"/>
    </row>
    <row r="22" spans="1:8" ht="15">
      <c r="A22" s="102" t="s">
        <v>293</v>
      </c>
      <c r="B22" s="103" t="s">
        <v>316</v>
      </c>
      <c r="C22" s="102" t="s">
        <v>295</v>
      </c>
      <c r="D22" s="104" t="s">
        <v>296</v>
      </c>
      <c r="E22" s="105" t="s">
        <v>297</v>
      </c>
      <c r="F22" s="106" t="s">
        <v>298</v>
      </c>
      <c r="G22" s="105" t="s">
        <v>299</v>
      </c>
      <c r="H22" s="105" t="s">
        <v>300</v>
      </c>
    </row>
    <row r="23" spans="1:8" ht="15">
      <c r="A23" s="109" t="s">
        <v>317</v>
      </c>
      <c r="C23" s="109"/>
      <c r="D23" s="99"/>
      <c r="E23" s="100"/>
      <c r="F23" s="101"/>
      <c r="H23" s="126"/>
    </row>
    <row r="24" spans="1:8" ht="15">
      <c r="A24" s="109" t="s">
        <v>383</v>
      </c>
      <c r="B24" s="86" t="s">
        <v>303</v>
      </c>
      <c r="C24" s="85">
        <v>38</v>
      </c>
      <c r="D24" s="128"/>
      <c r="E24" s="128"/>
      <c r="F24" s="129">
        <f aca="true" t="shared" si="3" ref="F24:F29">C24*D24</f>
        <v>0</v>
      </c>
      <c r="G24" s="126">
        <f aca="true" t="shared" si="4" ref="G24:G29">C24*E24</f>
        <v>0</v>
      </c>
      <c r="H24" s="126">
        <f aca="true" t="shared" si="5" ref="H24:H29">SUM(F24:G24)</f>
        <v>0</v>
      </c>
    </row>
    <row r="25" spans="1:8" ht="15">
      <c r="A25" s="109" t="s">
        <v>384</v>
      </c>
      <c r="B25" s="86" t="s">
        <v>303</v>
      </c>
      <c r="C25" s="85">
        <v>47</v>
      </c>
      <c r="D25" s="128"/>
      <c r="E25" s="128"/>
      <c r="F25" s="129">
        <f t="shared" si="3"/>
        <v>0</v>
      </c>
      <c r="G25" s="126">
        <f t="shared" si="4"/>
        <v>0</v>
      </c>
      <c r="H25" s="126">
        <f t="shared" si="5"/>
        <v>0</v>
      </c>
    </row>
    <row r="26" spans="1:8" ht="15">
      <c r="A26" s="109" t="s">
        <v>385</v>
      </c>
      <c r="B26" s="86" t="s">
        <v>303</v>
      </c>
      <c r="C26" s="85">
        <v>265</v>
      </c>
      <c r="D26" s="128"/>
      <c r="E26" s="128"/>
      <c r="F26" s="129">
        <f t="shared" si="3"/>
        <v>0</v>
      </c>
      <c r="G26" s="126">
        <f t="shared" si="4"/>
        <v>0</v>
      </c>
      <c r="H26" s="126">
        <f t="shared" si="5"/>
        <v>0</v>
      </c>
    </row>
    <row r="27" spans="1:8" ht="15">
      <c r="A27" s="109" t="s">
        <v>386</v>
      </c>
      <c r="B27" s="86" t="s">
        <v>303</v>
      </c>
      <c r="C27" s="85">
        <v>32</v>
      </c>
      <c r="D27" s="128"/>
      <c r="E27" s="128"/>
      <c r="F27" s="129">
        <f t="shared" si="3"/>
        <v>0</v>
      </c>
      <c r="G27" s="126">
        <f t="shared" si="4"/>
        <v>0</v>
      </c>
      <c r="H27" s="126">
        <f t="shared" si="5"/>
        <v>0</v>
      </c>
    </row>
    <row r="28" spans="1:8" ht="15">
      <c r="A28" s="109" t="s">
        <v>387</v>
      </c>
      <c r="B28" s="86" t="s">
        <v>303</v>
      </c>
      <c r="C28" s="85">
        <v>1083</v>
      </c>
      <c r="D28" s="128"/>
      <c r="E28" s="128"/>
      <c r="F28" s="129">
        <f t="shared" si="3"/>
        <v>0</v>
      </c>
      <c r="G28" s="126">
        <f t="shared" si="4"/>
        <v>0</v>
      </c>
      <c r="H28" s="126">
        <f t="shared" si="5"/>
        <v>0</v>
      </c>
    </row>
    <row r="29" spans="1:8" ht="15">
      <c r="A29" s="109" t="s">
        <v>388</v>
      </c>
      <c r="B29" s="86" t="s">
        <v>389</v>
      </c>
      <c r="C29" s="85">
        <v>21</v>
      </c>
      <c r="D29" s="128"/>
      <c r="E29" s="128"/>
      <c r="F29" s="129">
        <f t="shared" si="3"/>
        <v>0</v>
      </c>
      <c r="G29" s="126">
        <f t="shared" si="4"/>
        <v>0</v>
      </c>
      <c r="H29" s="126">
        <f t="shared" si="5"/>
        <v>0</v>
      </c>
    </row>
    <row r="30" spans="1:8" ht="15">
      <c r="A30" s="109" t="s">
        <v>318</v>
      </c>
      <c r="B30" s="86"/>
      <c r="C30" s="85"/>
      <c r="D30" s="128"/>
      <c r="E30" s="128"/>
      <c r="F30" s="129"/>
      <c r="G30" s="126"/>
      <c r="H30" s="126"/>
    </row>
    <row r="31" spans="1:8" ht="15">
      <c r="A31" s="130" t="s">
        <v>319</v>
      </c>
      <c r="B31" s="86" t="s">
        <v>303</v>
      </c>
      <c r="C31" s="85">
        <v>26</v>
      </c>
      <c r="D31" s="128"/>
      <c r="E31" s="128"/>
      <c r="F31" s="129">
        <f>C31*D31</f>
        <v>0</v>
      </c>
      <c r="G31" s="126">
        <f>C31*E31</f>
        <v>0</v>
      </c>
      <c r="H31" s="126">
        <f>SUM(F31:G31)</f>
        <v>0</v>
      </c>
    </row>
    <row r="32" spans="1:8" ht="15">
      <c r="A32" s="109" t="s">
        <v>320</v>
      </c>
      <c r="B32" s="86" t="s">
        <v>303</v>
      </c>
      <c r="C32" s="85">
        <v>35</v>
      </c>
      <c r="D32" s="128"/>
      <c r="E32" s="128"/>
      <c r="F32" s="129">
        <f>C32*D32</f>
        <v>0</v>
      </c>
      <c r="G32" s="126">
        <f>C32*E32</f>
        <v>0</v>
      </c>
      <c r="H32" s="126">
        <f>SUM(F32:G32)</f>
        <v>0</v>
      </c>
    </row>
    <row r="33" spans="1:8" ht="15.75" thickBot="1">
      <c r="A33" s="115" t="s">
        <v>390</v>
      </c>
      <c r="B33" s="116"/>
      <c r="C33" s="115"/>
      <c r="D33" s="117"/>
      <c r="E33" s="117"/>
      <c r="F33" s="118"/>
      <c r="G33" s="119"/>
      <c r="H33" s="119"/>
    </row>
    <row r="34" spans="1:8" ht="15">
      <c r="A34" s="109" t="s">
        <v>312</v>
      </c>
      <c r="B34" s="120"/>
      <c r="C34" s="90"/>
      <c r="D34" s="99"/>
      <c r="E34" s="100"/>
      <c r="F34" s="112">
        <f>SUM(F24:F32)</f>
        <v>0</v>
      </c>
      <c r="G34" s="113">
        <f>SUM(G24:G32)</f>
        <v>0</v>
      </c>
      <c r="H34" s="113">
        <f>SUM(H24:H32)</f>
        <v>0</v>
      </c>
    </row>
    <row r="35" spans="1:8" ht="15.75" thickBot="1">
      <c r="A35" s="91" t="s">
        <v>313</v>
      </c>
      <c r="B35" s="121"/>
      <c r="C35" s="122">
        <v>0.05</v>
      </c>
      <c r="D35" s="93"/>
      <c r="E35" s="94"/>
      <c r="F35" s="123"/>
      <c r="G35" s="124">
        <f>PRODUCT(G34,C35)</f>
        <v>0</v>
      </c>
      <c r="H35" s="124">
        <f>SUM(G35)</f>
        <v>0</v>
      </c>
    </row>
    <row r="36" spans="1:8" ht="15.75" thickBot="1">
      <c r="A36" s="109" t="s">
        <v>321</v>
      </c>
      <c r="C36" s="109"/>
      <c r="D36" s="99"/>
      <c r="E36" s="100"/>
      <c r="F36" s="101"/>
      <c r="H36" s="125">
        <f>SUM(H34:H35)</f>
        <v>0</v>
      </c>
    </row>
    <row r="37" spans="1:7" ht="15">
      <c r="A37" s="85"/>
      <c r="B37" s="86"/>
      <c r="C37" s="87"/>
      <c r="D37" s="88"/>
      <c r="E37" s="89"/>
      <c r="F37" s="88"/>
      <c r="G37" s="88"/>
    </row>
    <row r="38" spans="1:4" ht="15">
      <c r="A38" s="97" t="s">
        <v>322</v>
      </c>
      <c r="B38" s="127"/>
      <c r="D38" s="99"/>
    </row>
    <row r="39" spans="1:8" ht="15">
      <c r="A39" s="102" t="s">
        <v>293</v>
      </c>
      <c r="B39" s="103" t="s">
        <v>316</v>
      </c>
      <c r="C39" s="102" t="s">
        <v>295</v>
      </c>
      <c r="D39" s="104" t="s">
        <v>296</v>
      </c>
      <c r="E39" s="105" t="s">
        <v>297</v>
      </c>
      <c r="F39" s="106" t="s">
        <v>298</v>
      </c>
      <c r="G39" s="105" t="s">
        <v>299</v>
      </c>
      <c r="H39" s="105" t="s">
        <v>300</v>
      </c>
    </row>
    <row r="40" spans="1:8" ht="15">
      <c r="A40" s="109" t="s">
        <v>323</v>
      </c>
      <c r="C40" s="109"/>
      <c r="D40" s="131"/>
      <c r="E40" s="100"/>
      <c r="F40" s="101"/>
      <c r="H40" s="100"/>
    </row>
    <row r="41" spans="1:8" ht="15">
      <c r="A41" s="109" t="s">
        <v>324</v>
      </c>
      <c r="B41" s="98" t="s">
        <v>325</v>
      </c>
      <c r="C41" s="109">
        <v>76</v>
      </c>
      <c r="D41" s="132"/>
      <c r="E41" s="133"/>
      <c r="F41" s="134">
        <f>C41*D41</f>
        <v>0</v>
      </c>
      <c r="G41" s="113">
        <f>C41*E41</f>
        <v>0</v>
      </c>
      <c r="H41" s="135">
        <f>SUM(F41:G41)</f>
        <v>0</v>
      </c>
    </row>
    <row r="42" spans="1:8" ht="15">
      <c r="A42" s="109" t="s">
        <v>326</v>
      </c>
      <c r="B42" s="98" t="s">
        <v>325</v>
      </c>
      <c r="C42" s="109">
        <v>2</v>
      </c>
      <c r="D42" s="132"/>
      <c r="E42" s="133"/>
      <c r="F42" s="134">
        <f>C42*D42</f>
        <v>0</v>
      </c>
      <c r="G42" s="113">
        <f>C42*E42</f>
        <v>0</v>
      </c>
      <c r="H42" s="135">
        <f>SUM(F42:G42)</f>
        <v>0</v>
      </c>
    </row>
    <row r="43" spans="1:8" ht="15">
      <c r="A43" s="109" t="s">
        <v>327</v>
      </c>
      <c r="C43" s="109"/>
      <c r="D43" s="132"/>
      <c r="E43" s="133"/>
      <c r="F43" s="134"/>
      <c r="G43" s="113"/>
      <c r="H43" s="135"/>
    </row>
    <row r="44" spans="1:8" ht="15">
      <c r="A44" s="109" t="s">
        <v>328</v>
      </c>
      <c r="B44" s="86" t="s">
        <v>325</v>
      </c>
      <c r="C44" s="85">
        <v>2</v>
      </c>
      <c r="D44" s="136"/>
      <c r="E44" s="137"/>
      <c r="F44" s="134">
        <f>C44*D44</f>
        <v>0</v>
      </c>
      <c r="G44" s="113">
        <f>C44*E44</f>
        <v>0</v>
      </c>
      <c r="H44" s="126">
        <f>SUM(F44:G44)</f>
        <v>0</v>
      </c>
    </row>
    <row r="45" spans="1:8" ht="15">
      <c r="A45" s="109" t="s">
        <v>329</v>
      </c>
      <c r="B45" s="86" t="s">
        <v>325</v>
      </c>
      <c r="C45" s="85">
        <v>9</v>
      </c>
      <c r="D45" s="136"/>
      <c r="E45" s="137"/>
      <c r="F45" s="134">
        <f>C45*D45</f>
        <v>0</v>
      </c>
      <c r="G45" s="113">
        <f>C45*E45</f>
        <v>0</v>
      </c>
      <c r="H45" s="126">
        <f>SUM(F45:G45)</f>
        <v>0</v>
      </c>
    </row>
    <row r="46" spans="1:8" ht="15">
      <c r="A46" s="109" t="s">
        <v>330</v>
      </c>
      <c r="B46" s="86" t="s">
        <v>325</v>
      </c>
      <c r="C46" s="85">
        <v>1</v>
      </c>
      <c r="D46" s="136"/>
      <c r="E46" s="137"/>
      <c r="F46" s="134">
        <f>C46*D46</f>
        <v>0</v>
      </c>
      <c r="G46" s="113">
        <f>C46*E46</f>
        <v>0</v>
      </c>
      <c r="H46" s="126">
        <f>SUM(F46:G46)</f>
        <v>0</v>
      </c>
    </row>
    <row r="47" spans="1:8" ht="15">
      <c r="A47" s="109" t="s">
        <v>331</v>
      </c>
      <c r="B47" s="86" t="s">
        <v>325</v>
      </c>
      <c r="C47" s="85">
        <v>1</v>
      </c>
      <c r="D47" s="136"/>
      <c r="E47" s="137"/>
      <c r="F47" s="134">
        <f>C47*D47</f>
        <v>0</v>
      </c>
      <c r="G47" s="113">
        <f>C47*E47</f>
        <v>0</v>
      </c>
      <c r="H47" s="126">
        <f>SUM(F47:G47)</f>
        <v>0</v>
      </c>
    </row>
    <row r="48" spans="1:8" ht="15">
      <c r="A48" s="109" t="s">
        <v>332</v>
      </c>
      <c r="B48" s="86"/>
      <c r="C48" s="85"/>
      <c r="D48" s="136"/>
      <c r="E48" s="137"/>
      <c r="F48" s="134"/>
      <c r="G48" s="113"/>
      <c r="H48" s="126"/>
    </row>
    <row r="49" spans="1:8" ht="15">
      <c r="A49" s="109" t="s">
        <v>333</v>
      </c>
      <c r="B49" s="86" t="s">
        <v>325</v>
      </c>
      <c r="C49" s="85">
        <v>2</v>
      </c>
      <c r="D49" s="136"/>
      <c r="E49" s="137"/>
      <c r="F49" s="134">
        <f>C49*D49</f>
        <v>0</v>
      </c>
      <c r="G49" s="113">
        <f>C49*E49</f>
        <v>0</v>
      </c>
      <c r="H49" s="126">
        <f>SUM(F49:G49)</f>
        <v>0</v>
      </c>
    </row>
    <row r="50" spans="1:8" ht="15">
      <c r="A50" s="109" t="s">
        <v>334</v>
      </c>
      <c r="B50" s="86"/>
      <c r="C50" s="85"/>
      <c r="D50" s="136"/>
      <c r="E50" s="137"/>
      <c r="F50" s="134"/>
      <c r="G50" s="113"/>
      <c r="H50" s="126"/>
    </row>
    <row r="51" spans="1:8" ht="15.75" thickBot="1">
      <c r="A51" s="115" t="s">
        <v>335</v>
      </c>
      <c r="B51" s="116" t="s">
        <v>325</v>
      </c>
      <c r="C51" s="115">
        <v>2</v>
      </c>
      <c r="D51" s="138"/>
      <c r="E51" s="139"/>
      <c r="F51" s="140">
        <f>C51*D51</f>
        <v>0</v>
      </c>
      <c r="G51" s="119">
        <f>C51*E51</f>
        <v>0</v>
      </c>
      <c r="H51" s="119">
        <f>SUM(F51:G51)</f>
        <v>0</v>
      </c>
    </row>
    <row r="52" spans="1:8" ht="15">
      <c r="A52" s="109" t="s">
        <v>336</v>
      </c>
      <c r="C52" s="109"/>
      <c r="D52" s="99"/>
      <c r="E52" s="100"/>
      <c r="F52" s="134">
        <f>SUM(F41:F51)</f>
        <v>0</v>
      </c>
      <c r="G52" s="113">
        <f>SUM(G41:G51)</f>
        <v>0</v>
      </c>
      <c r="H52" s="135">
        <f>SUM(F52:G52)</f>
        <v>0</v>
      </c>
    </row>
    <row r="53" spans="1:8" ht="15">
      <c r="A53" s="91" t="s">
        <v>313</v>
      </c>
      <c r="B53" s="92"/>
      <c r="C53" s="122">
        <v>0.05</v>
      </c>
      <c r="D53" s="93"/>
      <c r="E53" s="94"/>
      <c r="F53" s="95"/>
      <c r="G53" s="124">
        <f>PRODUCT(G52,C53)</f>
        <v>0</v>
      </c>
      <c r="H53" s="124">
        <f>SUM(G53)</f>
        <v>0</v>
      </c>
    </row>
    <row r="54" spans="1:8" ht="15.75" thickBot="1">
      <c r="A54" s="109" t="s">
        <v>337</v>
      </c>
      <c r="C54" s="109"/>
      <c r="D54" s="99"/>
      <c r="E54" s="100"/>
      <c r="F54" s="101"/>
      <c r="H54" s="119">
        <f>SUM(H52:H53)</f>
        <v>0</v>
      </c>
    </row>
    <row r="55" spans="4:7" ht="15">
      <c r="D55" s="99"/>
      <c r="G55" s="88"/>
    </row>
    <row r="56" spans="4:7" ht="15">
      <c r="D56" s="99"/>
      <c r="G56" s="88"/>
    </row>
    <row r="57" spans="4:7" ht="15">
      <c r="D57" s="99"/>
      <c r="G57" s="88"/>
    </row>
    <row r="58" spans="3:8" ht="15">
      <c r="C58" s="109"/>
      <c r="D58" s="99"/>
      <c r="E58" s="100" t="s">
        <v>497</v>
      </c>
      <c r="F58" s="101"/>
      <c r="H58" s="88"/>
    </row>
    <row r="59" spans="1:8" ht="15">
      <c r="A59" s="97" t="s">
        <v>338</v>
      </c>
      <c r="C59" s="109"/>
      <c r="D59" s="99"/>
      <c r="E59" s="100"/>
      <c r="F59" s="101"/>
      <c r="H59" s="88"/>
    </row>
    <row r="60" spans="1:8" ht="15">
      <c r="A60" s="102" t="s">
        <v>293</v>
      </c>
      <c r="B60" s="103" t="s">
        <v>316</v>
      </c>
      <c r="C60" s="102" t="s">
        <v>295</v>
      </c>
      <c r="D60" s="104" t="s">
        <v>296</v>
      </c>
      <c r="E60" s="105" t="s">
        <v>297</v>
      </c>
      <c r="F60" s="106" t="s">
        <v>298</v>
      </c>
      <c r="G60" s="105" t="s">
        <v>299</v>
      </c>
      <c r="H60" s="105" t="s">
        <v>300</v>
      </c>
    </row>
    <row r="61" spans="1:8" ht="15">
      <c r="A61" s="85" t="s">
        <v>339</v>
      </c>
      <c r="B61" s="86"/>
      <c r="C61" s="85"/>
      <c r="D61" s="136"/>
      <c r="E61" s="88"/>
      <c r="F61" s="101"/>
      <c r="H61" s="100"/>
    </row>
    <row r="62" spans="1:8" ht="15">
      <c r="A62" s="141" t="s">
        <v>340</v>
      </c>
      <c r="B62" s="86" t="s">
        <v>341</v>
      </c>
      <c r="C62" s="85">
        <v>1</v>
      </c>
      <c r="D62" s="132"/>
      <c r="E62" s="133"/>
      <c r="F62" s="112">
        <f>C62*D62</f>
        <v>0</v>
      </c>
      <c r="G62" s="113">
        <f>C62*E62</f>
        <v>0</v>
      </c>
      <c r="H62" s="113">
        <f>SUM(F62:G62)</f>
        <v>0</v>
      </c>
    </row>
    <row r="63" spans="1:8" ht="15">
      <c r="A63" s="85" t="s">
        <v>342</v>
      </c>
      <c r="C63" s="109"/>
      <c r="D63" s="132"/>
      <c r="E63" s="133"/>
      <c r="F63" s="112"/>
      <c r="G63" s="113"/>
      <c r="H63" s="100"/>
    </row>
    <row r="64" spans="1:8" ht="15">
      <c r="A64" s="85" t="s">
        <v>343</v>
      </c>
      <c r="B64" s="86"/>
      <c r="C64" s="85"/>
      <c r="D64" s="132"/>
      <c r="E64" s="133"/>
      <c r="F64" s="112"/>
      <c r="G64" s="113"/>
      <c r="H64" s="113"/>
    </row>
    <row r="65" spans="1:8" ht="15">
      <c r="A65" s="85" t="s">
        <v>344</v>
      </c>
      <c r="C65" s="109"/>
      <c r="D65" s="132"/>
      <c r="E65" s="133"/>
      <c r="F65" s="112"/>
      <c r="G65" s="113"/>
      <c r="H65" s="100"/>
    </row>
    <row r="66" ht="15">
      <c r="A66" s="85" t="s">
        <v>345</v>
      </c>
    </row>
    <row r="67" spans="1:8" ht="15">
      <c r="A67" s="85" t="s">
        <v>346</v>
      </c>
      <c r="B67" s="86" t="s">
        <v>150</v>
      </c>
      <c r="C67" s="85">
        <v>1</v>
      </c>
      <c r="D67" s="137"/>
      <c r="E67" s="137"/>
      <c r="F67" s="112">
        <f>C67*D67</f>
        <v>0</v>
      </c>
      <c r="G67" s="113">
        <f>C67*E67</f>
        <v>0</v>
      </c>
      <c r="H67" s="126">
        <f>SUM(F67:G67)</f>
        <v>0</v>
      </c>
    </row>
    <row r="68" spans="1:8" ht="15">
      <c r="A68" s="85"/>
      <c r="C68" s="109"/>
      <c r="D68" s="132"/>
      <c r="E68" s="133"/>
      <c r="F68" s="112"/>
      <c r="G68" s="113"/>
      <c r="H68" s="100"/>
    </row>
    <row r="69" spans="1:8" ht="15">
      <c r="A69" s="85" t="s">
        <v>347</v>
      </c>
      <c r="B69" s="86"/>
      <c r="C69" s="85"/>
      <c r="D69" s="136"/>
      <c r="E69" s="137"/>
      <c r="F69" s="129"/>
      <c r="G69" s="126"/>
      <c r="H69" s="126"/>
    </row>
    <row r="70" spans="1:8" ht="15">
      <c r="A70" s="85" t="s">
        <v>348</v>
      </c>
      <c r="B70" s="86"/>
      <c r="C70" s="85"/>
      <c r="D70" s="136"/>
      <c r="E70" s="137"/>
      <c r="F70" s="129"/>
      <c r="G70" s="126"/>
      <c r="H70" s="126"/>
    </row>
    <row r="71" spans="1:8" ht="15">
      <c r="A71" s="85" t="s">
        <v>349</v>
      </c>
      <c r="B71" s="86"/>
      <c r="C71" s="85"/>
      <c r="D71" s="136"/>
      <c r="E71" s="137"/>
      <c r="F71" s="129"/>
      <c r="G71" s="126"/>
      <c r="H71" s="126"/>
    </row>
    <row r="72" spans="1:8" ht="15">
      <c r="A72" s="85" t="s">
        <v>350</v>
      </c>
      <c r="B72" s="86"/>
      <c r="C72" s="85"/>
      <c r="D72" s="136"/>
      <c r="E72" s="137"/>
      <c r="F72" s="129"/>
      <c r="G72" s="126"/>
      <c r="H72" s="126"/>
    </row>
    <row r="73" spans="1:8" ht="15">
      <c r="A73" s="85" t="s">
        <v>351</v>
      </c>
      <c r="B73" s="86" t="s">
        <v>150</v>
      </c>
      <c r="C73" s="85">
        <v>1</v>
      </c>
      <c r="D73" s="137"/>
      <c r="E73" s="137"/>
      <c r="F73" s="112">
        <f>C73*D73</f>
        <v>0</v>
      </c>
      <c r="G73" s="113">
        <f>C73*E73</f>
        <v>0</v>
      </c>
      <c r="H73" s="126">
        <f>SUM(F73:G73)</f>
        <v>0</v>
      </c>
    </row>
    <row r="74" spans="1:8" ht="15">
      <c r="A74" s="85" t="s">
        <v>352</v>
      </c>
      <c r="B74" s="86"/>
      <c r="C74" s="85"/>
      <c r="D74" s="136"/>
      <c r="E74" s="137"/>
      <c r="F74" s="129"/>
      <c r="G74" s="126"/>
      <c r="H74" s="126"/>
    </row>
    <row r="75" spans="1:8" ht="15">
      <c r="A75" s="85" t="s">
        <v>353</v>
      </c>
      <c r="B75" s="86" t="s">
        <v>150</v>
      </c>
      <c r="C75" s="85">
        <v>1</v>
      </c>
      <c r="D75" s="137"/>
      <c r="E75" s="137"/>
      <c r="F75" s="112">
        <f>C75*D75</f>
        <v>0</v>
      </c>
      <c r="G75" s="113">
        <f>C75*E75</f>
        <v>0</v>
      </c>
      <c r="H75" s="126">
        <f>SUM(F75:G75)</f>
        <v>0</v>
      </c>
    </row>
    <row r="76" spans="1:8" ht="15">
      <c r="A76" s="85"/>
      <c r="B76" s="86"/>
      <c r="C76" s="85"/>
      <c r="D76" s="137"/>
      <c r="E76" s="137"/>
      <c r="F76" s="112"/>
      <c r="G76" s="113"/>
      <c r="H76" s="126"/>
    </row>
    <row r="77" spans="1:8" ht="15">
      <c r="A77" s="85" t="s">
        <v>354</v>
      </c>
      <c r="B77" s="86"/>
      <c r="C77" s="85"/>
      <c r="D77" s="137"/>
      <c r="E77" s="137"/>
      <c r="F77" s="112"/>
      <c r="G77" s="113"/>
      <c r="H77" s="126"/>
    </row>
    <row r="78" spans="1:8" ht="15">
      <c r="A78" s="85" t="s">
        <v>355</v>
      </c>
      <c r="B78" s="86"/>
      <c r="C78" s="85"/>
      <c r="D78" s="137"/>
      <c r="E78" s="137"/>
      <c r="F78" s="112"/>
      <c r="G78" s="113"/>
      <c r="H78" s="126"/>
    </row>
    <row r="79" spans="1:8" ht="15">
      <c r="A79" s="85" t="s">
        <v>356</v>
      </c>
      <c r="B79" s="86"/>
      <c r="C79" s="85"/>
      <c r="D79" s="137"/>
      <c r="E79" s="137"/>
      <c r="F79" s="112"/>
      <c r="G79" s="113"/>
      <c r="H79" s="126"/>
    </row>
    <row r="80" spans="1:8" ht="15">
      <c r="A80" s="85" t="s">
        <v>357</v>
      </c>
      <c r="B80" s="86"/>
      <c r="C80" s="85"/>
      <c r="D80" s="137"/>
      <c r="E80" s="137"/>
      <c r="F80" s="112"/>
      <c r="G80" s="113"/>
      <c r="H80" s="126"/>
    </row>
    <row r="81" spans="1:8" ht="15">
      <c r="A81" s="85" t="s">
        <v>358</v>
      </c>
      <c r="B81" s="86" t="s">
        <v>150</v>
      </c>
      <c r="C81" s="85">
        <v>1</v>
      </c>
      <c r="D81" s="137"/>
      <c r="E81" s="137"/>
      <c r="F81" s="112">
        <f>C81*D81</f>
        <v>0</v>
      </c>
      <c r="G81" s="113">
        <f>C81*E81</f>
        <v>0</v>
      </c>
      <c r="H81" s="126">
        <f>SUM(F81:G81)</f>
        <v>0</v>
      </c>
    </row>
    <row r="82" spans="1:8" ht="15">
      <c r="A82" s="85"/>
      <c r="B82" s="86"/>
      <c r="C82" s="85"/>
      <c r="D82" s="137"/>
      <c r="E82" s="137"/>
      <c r="F82" s="112"/>
      <c r="G82" s="113"/>
      <c r="H82" s="126"/>
    </row>
    <row r="83" spans="1:8" ht="15">
      <c r="A83" s="85" t="s">
        <v>359</v>
      </c>
      <c r="B83" s="86"/>
      <c r="C83" s="85"/>
      <c r="D83" s="137"/>
      <c r="E83" s="137"/>
      <c r="F83" s="112"/>
      <c r="G83" s="113"/>
      <c r="H83" s="126"/>
    </row>
    <row r="84" spans="1:8" ht="15">
      <c r="A84" s="85" t="s">
        <v>360</v>
      </c>
      <c r="B84" s="86"/>
      <c r="C84" s="85"/>
      <c r="D84" s="137"/>
      <c r="E84" s="137"/>
      <c r="F84" s="112"/>
      <c r="G84" s="113"/>
      <c r="H84" s="126"/>
    </row>
    <row r="85" spans="1:8" ht="15.75" thickBot="1">
      <c r="A85" s="115"/>
      <c r="B85" s="116" t="s">
        <v>150</v>
      </c>
      <c r="C85" s="115">
        <v>1</v>
      </c>
      <c r="D85" s="139"/>
      <c r="E85" s="139">
        <v>0</v>
      </c>
      <c r="F85" s="118">
        <f>C85*D85</f>
        <v>0</v>
      </c>
      <c r="G85" s="119">
        <f>C85*E85</f>
        <v>0</v>
      </c>
      <c r="H85" s="119">
        <f>SUM(F85:G85)</f>
        <v>0</v>
      </c>
    </row>
    <row r="86" spans="1:8" ht="15">
      <c r="A86" s="109" t="s">
        <v>336</v>
      </c>
      <c r="C86" s="109"/>
      <c r="D86" s="142"/>
      <c r="E86" s="88"/>
      <c r="F86" s="129">
        <f>SUM(F62:F85)</f>
        <v>0</v>
      </c>
      <c r="G86" s="126">
        <f>SUM(G62:G81)</f>
        <v>0</v>
      </c>
      <c r="H86" s="126">
        <f>SUM(F86:G86)</f>
        <v>0</v>
      </c>
    </row>
    <row r="87" spans="1:8" ht="15.75" thickBot="1">
      <c r="A87" s="91" t="s">
        <v>313</v>
      </c>
      <c r="B87" s="92"/>
      <c r="C87" s="122">
        <v>0.05</v>
      </c>
      <c r="D87" s="143"/>
      <c r="E87" s="94"/>
      <c r="F87" s="95"/>
      <c r="G87" s="124">
        <f>PRODUCT(G86,C87)</f>
        <v>0</v>
      </c>
      <c r="H87" s="124">
        <f>SUM(G87)</f>
        <v>0</v>
      </c>
    </row>
    <row r="88" spans="1:8" ht="15.75" thickBot="1">
      <c r="A88" s="85" t="s">
        <v>361</v>
      </c>
      <c r="B88" s="86"/>
      <c r="C88" s="85"/>
      <c r="D88" s="142"/>
      <c r="E88" s="88"/>
      <c r="F88" s="89"/>
      <c r="G88" s="88"/>
      <c r="H88" s="144">
        <f>SUM(H86:H87)</f>
        <v>0</v>
      </c>
    </row>
    <row r="89" spans="1:7" ht="15">
      <c r="A89" s="85"/>
      <c r="B89" s="86"/>
      <c r="C89" s="142"/>
      <c r="D89" s="87"/>
      <c r="E89" s="89"/>
      <c r="F89" s="88"/>
      <c r="G89" s="88"/>
    </row>
    <row r="90" ht="15">
      <c r="D90" s="99"/>
    </row>
    <row r="91" spans="1:7" ht="15">
      <c r="A91" s="145" t="s">
        <v>362</v>
      </c>
      <c r="B91" s="86"/>
      <c r="C91" s="142"/>
      <c r="D91" s="87"/>
      <c r="E91" s="89"/>
      <c r="F91" s="88"/>
      <c r="G91" s="88"/>
    </row>
    <row r="92" spans="1:8" ht="15">
      <c r="A92" s="102" t="s">
        <v>293</v>
      </c>
      <c r="B92" s="103" t="s">
        <v>316</v>
      </c>
      <c r="C92" s="102" t="s">
        <v>295</v>
      </c>
      <c r="D92" s="104" t="s">
        <v>296</v>
      </c>
      <c r="E92" s="105" t="s">
        <v>297</v>
      </c>
      <c r="F92" s="106" t="s">
        <v>298</v>
      </c>
      <c r="G92" s="105" t="s">
        <v>299</v>
      </c>
      <c r="H92" s="105" t="s">
        <v>300</v>
      </c>
    </row>
    <row r="93" spans="1:8" ht="15">
      <c r="A93" s="85" t="s">
        <v>363</v>
      </c>
      <c r="B93" s="98" t="s">
        <v>303</v>
      </c>
      <c r="C93" s="109">
        <v>85</v>
      </c>
      <c r="D93" s="137">
        <v>0</v>
      </c>
      <c r="E93" s="89"/>
      <c r="F93" s="126">
        <f>PRODUCT(C93,D93)</f>
        <v>0</v>
      </c>
      <c r="G93" s="88"/>
      <c r="H93" s="126">
        <f>SUM(F93:G93)</f>
        <v>0</v>
      </c>
    </row>
    <row r="94" spans="1:8" ht="15">
      <c r="A94" s="85" t="s">
        <v>364</v>
      </c>
      <c r="B94" s="98" t="s">
        <v>303</v>
      </c>
      <c r="C94" s="109">
        <v>67</v>
      </c>
      <c r="D94" s="137">
        <v>0</v>
      </c>
      <c r="E94" s="89"/>
      <c r="F94" s="126">
        <f aca="true" t="shared" si="6" ref="F94:F105">PRODUCT(C94,D94)</f>
        <v>0</v>
      </c>
      <c r="G94" s="88"/>
      <c r="H94" s="126">
        <f>SUM(F94:G94)</f>
        <v>0</v>
      </c>
    </row>
    <row r="95" spans="1:8" ht="15">
      <c r="A95" s="85" t="s">
        <v>365</v>
      </c>
      <c r="B95" s="98" t="s">
        <v>303</v>
      </c>
      <c r="C95" s="109">
        <v>40</v>
      </c>
      <c r="D95" s="137">
        <v>0</v>
      </c>
      <c r="E95" s="89"/>
      <c r="F95" s="126">
        <f t="shared" si="6"/>
        <v>0</v>
      </c>
      <c r="G95" s="88"/>
      <c r="H95" s="126">
        <f>SUM(F95:G95)</f>
        <v>0</v>
      </c>
    </row>
    <row r="96" spans="1:8" ht="15">
      <c r="A96" s="85" t="s">
        <v>366</v>
      </c>
      <c r="B96" s="98" t="s">
        <v>149</v>
      </c>
      <c r="C96" s="109">
        <v>85</v>
      </c>
      <c r="D96" s="137">
        <v>0</v>
      </c>
      <c r="E96" s="89"/>
      <c r="F96" s="126">
        <f t="shared" si="6"/>
        <v>0</v>
      </c>
      <c r="G96" s="88"/>
      <c r="H96" s="126">
        <f>SUM(F96:G96)</f>
        <v>0</v>
      </c>
    </row>
    <row r="97" spans="1:8" ht="15">
      <c r="A97" s="85" t="s">
        <v>367</v>
      </c>
      <c r="B97" s="98" t="s">
        <v>146</v>
      </c>
      <c r="C97" s="109">
        <v>85</v>
      </c>
      <c r="D97" s="137">
        <v>0</v>
      </c>
      <c r="E97" s="89"/>
      <c r="F97" s="126">
        <f t="shared" si="6"/>
        <v>0</v>
      </c>
      <c r="G97" s="88"/>
      <c r="H97" s="126">
        <f aca="true" t="shared" si="7" ref="H97:H107">PRODUCT(E97,F97)</f>
        <v>0</v>
      </c>
    </row>
    <row r="98" spans="1:8" ht="15">
      <c r="A98" s="85" t="s">
        <v>368</v>
      </c>
      <c r="B98" s="98" t="s">
        <v>146</v>
      </c>
      <c r="C98" s="109">
        <v>67</v>
      </c>
      <c r="D98" s="137">
        <v>0</v>
      </c>
      <c r="E98" s="89"/>
      <c r="F98" s="126">
        <f t="shared" si="6"/>
        <v>0</v>
      </c>
      <c r="G98" s="88"/>
      <c r="H98" s="126">
        <f t="shared" si="7"/>
        <v>0</v>
      </c>
    </row>
    <row r="99" spans="1:8" ht="15">
      <c r="A99" s="85" t="s">
        <v>369</v>
      </c>
      <c r="B99" s="98" t="s">
        <v>146</v>
      </c>
      <c r="C99" s="109">
        <v>40</v>
      </c>
      <c r="D99" s="137">
        <v>0</v>
      </c>
      <c r="E99" s="89"/>
      <c r="F99" s="126">
        <f t="shared" si="6"/>
        <v>0</v>
      </c>
      <c r="G99" s="88"/>
      <c r="H99" s="126">
        <f t="shared" si="7"/>
        <v>0</v>
      </c>
    </row>
    <row r="100" spans="1:8" ht="15">
      <c r="A100" s="85" t="s">
        <v>370</v>
      </c>
      <c r="B100" s="98" t="s">
        <v>146</v>
      </c>
      <c r="C100" s="109">
        <v>85</v>
      </c>
      <c r="D100" s="137">
        <v>0</v>
      </c>
      <c r="E100" s="89"/>
      <c r="F100" s="126">
        <f t="shared" si="6"/>
        <v>0</v>
      </c>
      <c r="G100" s="88"/>
      <c r="H100" s="126">
        <f t="shared" si="7"/>
        <v>0</v>
      </c>
    </row>
    <row r="101" spans="1:8" ht="15">
      <c r="A101" s="85" t="s">
        <v>371</v>
      </c>
      <c r="B101" s="98" t="s">
        <v>146</v>
      </c>
      <c r="C101" s="109">
        <v>67</v>
      </c>
      <c r="D101" s="137">
        <v>0</v>
      </c>
      <c r="E101" s="89"/>
      <c r="F101" s="126">
        <f t="shared" si="6"/>
        <v>0</v>
      </c>
      <c r="G101" s="88"/>
      <c r="H101" s="126">
        <f t="shared" si="7"/>
        <v>0</v>
      </c>
    </row>
    <row r="102" spans="1:8" ht="15">
      <c r="A102" s="85" t="s">
        <v>372</v>
      </c>
      <c r="B102" s="98" t="s">
        <v>146</v>
      </c>
      <c r="C102" s="109">
        <v>40</v>
      </c>
      <c r="D102" s="137">
        <v>0</v>
      </c>
      <c r="E102" s="89"/>
      <c r="F102" s="126">
        <f t="shared" si="6"/>
        <v>0</v>
      </c>
      <c r="G102" s="88"/>
      <c r="H102" s="126">
        <f t="shared" si="7"/>
        <v>0</v>
      </c>
    </row>
    <row r="103" spans="1:8" ht="15">
      <c r="A103" s="85" t="s">
        <v>391</v>
      </c>
      <c r="B103" s="98" t="s">
        <v>149</v>
      </c>
      <c r="C103" s="109">
        <v>5</v>
      </c>
      <c r="D103" s="137">
        <v>0</v>
      </c>
      <c r="E103" s="89"/>
      <c r="F103" s="126">
        <f t="shared" si="6"/>
        <v>0</v>
      </c>
      <c r="G103" s="88"/>
      <c r="H103" s="126">
        <f t="shared" si="7"/>
        <v>0</v>
      </c>
    </row>
    <row r="104" spans="1:8" ht="15">
      <c r="A104" s="85" t="s">
        <v>392</v>
      </c>
      <c r="B104" s="98" t="s">
        <v>149</v>
      </c>
      <c r="C104" s="109">
        <v>3</v>
      </c>
      <c r="D104" s="137">
        <v>0</v>
      </c>
      <c r="E104" s="89"/>
      <c r="F104" s="126">
        <f t="shared" si="6"/>
        <v>0</v>
      </c>
      <c r="G104" s="88"/>
      <c r="H104" s="126">
        <f t="shared" si="7"/>
        <v>0</v>
      </c>
    </row>
    <row r="105" spans="1:8" ht="15">
      <c r="A105" s="85" t="s">
        <v>373</v>
      </c>
      <c r="B105" s="98" t="s">
        <v>393</v>
      </c>
      <c r="C105" s="109">
        <v>25</v>
      </c>
      <c r="D105" s="137">
        <v>0</v>
      </c>
      <c r="E105" s="89"/>
      <c r="F105" s="126">
        <f t="shared" si="6"/>
        <v>0</v>
      </c>
      <c r="G105" s="88"/>
      <c r="H105" s="126">
        <f t="shared" si="7"/>
        <v>0</v>
      </c>
    </row>
    <row r="106" spans="1:8" ht="15">
      <c r="A106" s="85" t="s">
        <v>374</v>
      </c>
      <c r="C106" s="109"/>
      <c r="D106" s="137"/>
      <c r="E106" s="89"/>
      <c r="F106" s="126">
        <v>0</v>
      </c>
      <c r="G106" s="88"/>
      <c r="H106" s="126">
        <f t="shared" si="7"/>
        <v>0</v>
      </c>
    </row>
    <row r="107" spans="1:8" ht="15.75" thickBot="1">
      <c r="A107" s="115" t="s">
        <v>375</v>
      </c>
      <c r="B107" s="116"/>
      <c r="C107" s="115"/>
      <c r="D107" s="139"/>
      <c r="E107" s="146"/>
      <c r="F107" s="119">
        <v>0</v>
      </c>
      <c r="G107" s="147"/>
      <c r="H107" s="126">
        <f t="shared" si="7"/>
        <v>0</v>
      </c>
    </row>
    <row r="108" spans="1:8" ht="15.75" thickBot="1">
      <c r="A108" s="85" t="s">
        <v>376</v>
      </c>
      <c r="B108" s="86"/>
      <c r="C108" s="85"/>
      <c r="D108" s="137"/>
      <c r="E108" s="88"/>
      <c r="F108" s="129">
        <f>SUM(F93:F107)</f>
        <v>0</v>
      </c>
      <c r="G108" s="88"/>
      <c r="H108" s="148">
        <f>SUM(H93:H107)</f>
        <v>0</v>
      </c>
    </row>
    <row r="109" spans="1:7" ht="15">
      <c r="A109" s="85"/>
      <c r="C109" s="87"/>
      <c r="D109" s="87"/>
      <c r="E109" s="89"/>
      <c r="F109" s="88"/>
      <c r="G109" s="88"/>
    </row>
    <row r="110" spans="1:7" ht="15">
      <c r="A110" s="85"/>
      <c r="B110" s="86"/>
      <c r="C110" s="87"/>
      <c r="D110" s="87"/>
      <c r="E110" s="89"/>
      <c r="F110" s="88"/>
      <c r="G110" s="88"/>
    </row>
    <row r="111" spans="1:7" ht="15">
      <c r="A111" s="85"/>
      <c r="B111" s="86"/>
      <c r="C111" s="142"/>
      <c r="D111" s="87"/>
      <c r="E111" s="89"/>
      <c r="F111" s="88"/>
      <c r="G111" s="88"/>
    </row>
    <row r="112" spans="1:8" ht="15">
      <c r="A112" s="145" t="s">
        <v>377</v>
      </c>
      <c r="B112" s="86"/>
      <c r="C112" s="85"/>
      <c r="D112" s="142"/>
      <c r="E112" s="88"/>
      <c r="F112" s="129">
        <f>SUM(F108+F86+F52+F34+F16)</f>
        <v>0</v>
      </c>
      <c r="G112" s="126">
        <f>SUM(G16+G17+G34+G35+G52+G53+G86+G87)</f>
        <v>0</v>
      </c>
      <c r="H112" s="126">
        <f>SUM(F112:G112)</f>
        <v>0</v>
      </c>
    </row>
    <row r="113" spans="1:8" ht="15">
      <c r="A113" s="85" t="s">
        <v>378</v>
      </c>
      <c r="B113" s="86" t="s">
        <v>379</v>
      </c>
      <c r="C113" s="85">
        <v>5</v>
      </c>
      <c r="D113" s="136">
        <v>0</v>
      </c>
      <c r="E113" s="88"/>
      <c r="F113" s="89"/>
      <c r="G113" s="88"/>
      <c r="H113" s="126">
        <f>PRODUCT(C113,D113)</f>
        <v>0</v>
      </c>
    </row>
    <row r="114" spans="1:8" ht="15.75" thickBot="1">
      <c r="A114" s="115" t="s">
        <v>380</v>
      </c>
      <c r="B114" s="149"/>
      <c r="C114" s="122">
        <v>0.05</v>
      </c>
      <c r="D114" s="138">
        <v>0</v>
      </c>
      <c r="E114" s="147"/>
      <c r="F114" s="146"/>
      <c r="G114" s="147"/>
      <c r="H114" s="119">
        <f>PRODUCT(C114,D114)</f>
        <v>0</v>
      </c>
    </row>
    <row r="115" spans="1:8" ht="15.75" thickBot="1">
      <c r="A115" s="150" t="s">
        <v>394</v>
      </c>
      <c r="B115" s="151"/>
      <c r="C115" s="152"/>
      <c r="D115" s="153"/>
      <c r="E115" s="154"/>
      <c r="F115" s="155"/>
      <c r="G115" s="154"/>
      <c r="H115" s="156">
        <f>SUM(H112:H114)</f>
        <v>0</v>
      </c>
    </row>
    <row r="116" spans="1:8" ht="15">
      <c r="A116" s="85" t="s">
        <v>381</v>
      </c>
      <c r="B116" s="157"/>
      <c r="C116" s="158">
        <v>0.21</v>
      </c>
      <c r="D116" s="142"/>
      <c r="E116" s="88"/>
      <c r="F116" s="89"/>
      <c r="G116" s="88"/>
      <c r="H116" s="126">
        <f>PRODUCT(H115,C116)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Suchý Petr</dc:creator>
  <cp:keywords/>
  <dc:description/>
  <cp:lastModifiedBy>Ausburher Josef</cp:lastModifiedBy>
  <cp:lastPrinted>2017-04-11T11:33:21Z</cp:lastPrinted>
  <dcterms:created xsi:type="dcterms:W3CDTF">2017-01-26T08:26:51Z</dcterms:created>
  <dcterms:modified xsi:type="dcterms:W3CDTF">2018-03-02T09:02:36Z</dcterms:modified>
  <cp:category/>
  <cp:version/>
  <cp:contentType/>
  <cp:contentStatus/>
</cp:coreProperties>
</file>