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0" activeTab="1"/>
  </bookViews>
  <sheets>
    <sheet name="Rekapitulace stavby" sheetId="1" r:id="rId1"/>
    <sheet name="Vycházkové komůrky" sheetId="2" r:id="rId2"/>
  </sheets>
  <definedNames>
    <definedName name="_xlnm.Print_Titles" localSheetId="0">'Rekapitulace stavby'!$85:$85</definedName>
    <definedName name="_xlnm.Print_Titles" localSheetId="1">'Vycházkové komůrky'!$123:$123</definedName>
    <definedName name="_xlnm.Print_Area" localSheetId="0">'Rekapitulace stavby'!$C$4:$AP$70,'Rekapitulace stavby'!$C$76:$AP$92</definedName>
    <definedName name="_xlnm.Print_Area" localSheetId="1">'Vycházkové komůrky'!$C$4:$Q$70,'Vycházkové komůrky'!$C$76:$Q$108,'Vycházkové komůrky'!$C$114:$Q$266</definedName>
  </definedNames>
  <calcPr fullCalcOnLoad="1"/>
</workbook>
</file>

<file path=xl/sharedStrings.xml><?xml version="1.0" encoding="utf-8"?>
<sst xmlns="http://schemas.openxmlformats.org/spreadsheetml/2006/main" count="1529" uniqueCount="411">
  <si>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</si>
  <si>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</si>
  <si>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</si>
  <si>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</si>
  <si>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</si>
  <si>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</si>
  <si>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</si>
  <si>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</si>
  <si>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</si>
  <si>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</si>
  <si>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</si>
  <si>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</si>
  <si>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</si>
  <si>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Vycházkové komůrky vazební věznice - stavební úpravy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</si>
  <si>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</si>
  <si>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</si>
  <si>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</si>
  <si>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</si>
  <si>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</si>
  <si>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</si>
  <si>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</si>
  <si>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</si>
  <si>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</si>
  <si>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</si>
  <si>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</si>
  <si>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</si>
  <si>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</si>
  <si>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</si>
  <si>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162 46 799</t>
  </si>
  <si>
    <t>Ing. Petr Mašek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</si>
  <si>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</si>
  <si>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</si>
  <si>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</si>
  <si>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</si>
  <si>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</si>
  <si>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</si>
  <si>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</si>
  <si>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</si>
  <si>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</si>
  <si>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</si>
  <si>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</si>
  <si>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</si>
  <si>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</si>
  <si>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</si>
  <si>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</si>
  <si>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</si>
  <si>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</si>
  <si>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</si>
  <si>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</si>
  <si>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</si>
  <si>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</si>
  <si>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</si>
  <si>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</si>
  <si>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</si>
  <si>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</si>
  <si>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</si>
  <si>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</si>
  <si>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</si>
  <si>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</si>
  <si>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</si>
  <si>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</si>
  <si>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</si>
  <si>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</si>
  <si>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</si>
  <si>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</si>
  <si>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</si>
  <si>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</si>
  <si>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</si>
  <si>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</si>
  <si>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</si>
  <si>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</si>
  <si>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</si>
  <si>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</si>
  <si>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</si>
  <si>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{E64E77D8-815F-4D03-BEC7-52EB7E29D795}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</si>
  <si>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</si>
  <si>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</si>
  <si>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</si>
  <si>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</si>
  <si>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</si>
  <si>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</si>
  <si>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</si>
  <si>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</si>
  <si>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</si>
  <si>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</si>
  <si>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</si>
  <si>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</si>
  <si>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</si>
  <si>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</si>
  <si>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</si>
  <si>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</si>
  <si>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</si>
  <si>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</si>
  <si>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</si>
  <si>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</si>
  <si>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</si>
  <si>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</si>
  <si>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</si>
  <si>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</si>
  <si>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</si>
  <si>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</si>
  <si>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</si>
  <si>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</si>
  <si>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</si>
  <si>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</si>
  <si>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</si>
  <si>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</si>
  <si>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>2) Ostatní náklady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</si>
  <si>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</si>
  <si>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</si>
  <si>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</si>
  <si>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</si>
  <si>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</si>
  <si>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</si>
  <si>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</si>
  <si>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</si>
  <si>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</si>
  <si>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</si>
  <si>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</si>
  <si>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</si>
  <si>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</si>
  <si>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</si>
  <si>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</si>
  <si>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18</t>
  </si>
  <si>
    <t>K</t>
  </si>
  <si>
    <t>113106123</t>
  </si>
  <si>
    <t>Rozebrání dlažeb komunikací pro pěší ze zámkových dlaždic</t>
  </si>
  <si>
    <t>m2</t>
  </si>
  <si>
    <t>4</t>
  </si>
  <si>
    <t>775251459</t>
  </si>
  <si>
    <t>"Kóje 8" 27,53</t>
  </si>
  <si>
    <t>VV</t>
  </si>
  <si>
    <t>"Kóje 7" 13,99</t>
  </si>
  <si>
    <t>"Kóje 6" 18,14</t>
  </si>
  <si>
    <t>"Kóje 5" 31,37</t>
  </si>
  <si>
    <t>"Kóje 4" 44,66</t>
  </si>
  <si>
    <t>"Kóje 3" 26,12</t>
  </si>
  <si>
    <t>Součet</t>
  </si>
  <si>
    <t>31</t>
  </si>
  <si>
    <t>M</t>
  </si>
  <si>
    <t>592451100</t>
  </si>
  <si>
    <t>dlažba skladebná HOLLAND HBB 20x10x6 cm přírodní</t>
  </si>
  <si>
    <t>8</t>
  </si>
  <si>
    <t>2147378511</t>
  </si>
  <si>
    <t>"Doplnění dlažby v místě odstraněných dělících zdí mezi kójemi"</t>
  </si>
  <si>
    <t>(174,25-161,81)*1,15</t>
  </si>
  <si>
    <t>32</t>
  </si>
  <si>
    <t>596211130</t>
  </si>
  <si>
    <t>Kladení zámkové dlažby komunikací pro pěší tl 60 mm skupiny C pl do 50 m2</t>
  </si>
  <si>
    <t>1236311922</t>
  </si>
  <si>
    <t>174,25</t>
  </si>
  <si>
    <t>43</t>
  </si>
  <si>
    <t>622131101</t>
  </si>
  <si>
    <t>-1901998378</t>
  </si>
  <si>
    <t>791,72</t>
  </si>
  <si>
    <t>35</t>
  </si>
  <si>
    <t>622332121</t>
  </si>
  <si>
    <t>-1176132744</t>
  </si>
  <si>
    <t>44</t>
  </si>
  <si>
    <t>946111111</t>
  </si>
  <si>
    <t>Montáž pojízdných věží trubkových/dílcových š do 0,9 m dl do 3,2 m v do 1,5 m</t>
  </si>
  <si>
    <t>kus</t>
  </si>
  <si>
    <t>-6506092</t>
  </si>
  <si>
    <t>45</t>
  </si>
  <si>
    <t>946111211</t>
  </si>
  <si>
    <t>Příplatek k pojízdným věžím š do 0,9 m dl do 3,2 m v do 1,5 m za první a ZKD den použití</t>
  </si>
  <si>
    <t>1735541909</t>
  </si>
  <si>
    <t>2*30</t>
  </si>
  <si>
    <t>46</t>
  </si>
  <si>
    <t>946111811</t>
  </si>
  <si>
    <t>Demontáž pojízdných věží trubkových/dílcových š do 0,9 m dl do 3,2 m v do 1,5 m</t>
  </si>
  <si>
    <t>1338258848</t>
  </si>
  <si>
    <t>962032240</t>
  </si>
  <si>
    <t>Bourání zdiva z cihel pálených nebo vápenopískových na MC do 1m3</t>
  </si>
  <si>
    <t>m3</t>
  </si>
  <si>
    <t>1648636943</t>
  </si>
  <si>
    <t>"Dělící zdi mezi kójemi" 0,3*2,793*(5,8+4,0+7,0+11,7+7,7)</t>
  </si>
  <si>
    <t>5</t>
  </si>
  <si>
    <t>964054111</t>
  </si>
  <si>
    <t>Bourání ŽB trámů, průvlaků nebo pásů průřezu do 0,36 m2</t>
  </si>
  <si>
    <t>691548449</t>
  </si>
  <si>
    <t>"Dělcí zdi mezi kójemi - žb. věnce" 0,3*0,15*(5,8+4,0+7,0+11,7+7,7)</t>
  </si>
  <si>
    <t>37</t>
  </si>
  <si>
    <t>978036191</t>
  </si>
  <si>
    <t>Otlučení cementových omítek vnějších ploch rozsahu do 100 %</t>
  </si>
  <si>
    <t>957944554</t>
  </si>
  <si>
    <t>"Omítka vnitřní stěny kójí"</t>
  </si>
  <si>
    <t>2,868*3,14*5,4</t>
  </si>
  <si>
    <t>3,018*(5,025+10,0+8,3+21,5+5,7+23,882)</t>
  </si>
  <si>
    <t>2,943*2*(10,0+8,0+5,3+8,0+6,0)</t>
  </si>
  <si>
    <t>"Omítka vnější stěny kójí"</t>
  </si>
  <si>
    <t>2,943*(5,3+5,3)</t>
  </si>
  <si>
    <t>2,868*3,14*4,8</t>
  </si>
  <si>
    <t>40</t>
  </si>
  <si>
    <t>985141111</t>
  </si>
  <si>
    <t>Vyčištění trhlin a dutin ve zdivu š do 30 mm hl do 150 mm</t>
  </si>
  <si>
    <t>m</t>
  </si>
  <si>
    <t>1063681558</t>
  </si>
  <si>
    <t>10,0</t>
  </si>
  <si>
    <t>41</t>
  </si>
  <si>
    <t>985331111</t>
  </si>
  <si>
    <t>Dodatečné vlepování betonářské výztuže D 8 mm do cementové aktivované malty včetně vyvrtání otvoru</t>
  </si>
  <si>
    <t>-917869504</t>
  </si>
  <si>
    <t>"Spony á 300 mm, délka 500 mm"</t>
  </si>
  <si>
    <t>10,0*3,3*0,5</t>
  </si>
  <si>
    <t>42</t>
  </si>
  <si>
    <t>985421111</t>
  </si>
  <si>
    <t>Injektáž trhlin š 2 mm v cihelném zdivu tl do 300 mm aktivovanou cementovou maltou včetně vrtů</t>
  </si>
  <si>
    <t>-1934537876</t>
  </si>
  <si>
    <t>6</t>
  </si>
  <si>
    <t>997013211</t>
  </si>
  <si>
    <t>Vnitrostaveništní doprava suti a vybouraných hmot pro budovy v do 6 m ručně</t>
  </si>
  <si>
    <t>t</t>
  </si>
  <si>
    <t>789731663</t>
  </si>
  <si>
    <t>"Zdivo" 30,332*1,9</t>
  </si>
  <si>
    <t>"Želetobeton" 1,629*2,75</t>
  </si>
  <si>
    <t>"Makrolon" 0,114</t>
  </si>
  <si>
    <t>"Směsný odpad" 1,0</t>
  </si>
  <si>
    <t>"Beton" 60,962</t>
  </si>
  <si>
    <t>7</t>
  </si>
  <si>
    <t>997013219</t>
  </si>
  <si>
    <t>Příplatek k vnitrostaveništní dopravě suti a vybouraných hmot za zvětšenou dopravu suti ZKD 10 m</t>
  </si>
  <si>
    <t>-1892957745</t>
  </si>
  <si>
    <t>124,187*10</t>
  </si>
  <si>
    <t>997013501</t>
  </si>
  <si>
    <t>Odvoz suti a vybouraných hmot na skládku nebo meziskládku do 1 km se složením</t>
  </si>
  <si>
    <t>881583529</t>
  </si>
  <si>
    <t>124,187</t>
  </si>
  <si>
    <t>9</t>
  </si>
  <si>
    <t>997013509</t>
  </si>
  <si>
    <t>Příplatek k odvozu suti a vybouraných hmot na skládku ZKD 1 km přes 1 km</t>
  </si>
  <si>
    <t>409724571</t>
  </si>
  <si>
    <t>39</t>
  </si>
  <si>
    <t>997013801</t>
  </si>
  <si>
    <t>Poplatek za uložení stavebního betonového odpadu na skládce (skládkovné)</t>
  </si>
  <si>
    <t>681492186</t>
  </si>
  <si>
    <t>"Omítky cementové" 791,72*0,035*2,2</t>
  </si>
  <si>
    <t>11</t>
  </si>
  <si>
    <t>997013802</t>
  </si>
  <si>
    <t>Poplatek za uložení stavebního železobetonového odpadu na skládce (skládkovné)</t>
  </si>
  <si>
    <t>-231551026</t>
  </si>
  <si>
    <t>4,48</t>
  </si>
  <si>
    <t>12</t>
  </si>
  <si>
    <t>997013803</t>
  </si>
  <si>
    <t>Poplatek za uložení stavebního odpadu z keramických materiálů na skládce (skládkovné)</t>
  </si>
  <si>
    <t>510851630</t>
  </si>
  <si>
    <t>57,631</t>
  </si>
  <si>
    <t>14</t>
  </si>
  <si>
    <t>997013813</t>
  </si>
  <si>
    <t>Poplatek za uložení stavebního odpadu z plastických hmot na skládce (skládkovné)</t>
  </si>
  <si>
    <t>-340850612</t>
  </si>
  <si>
    <t>"Makrolon" 75,907*1,5/1000</t>
  </si>
  <si>
    <t>13</t>
  </si>
  <si>
    <t>997013831</t>
  </si>
  <si>
    <t>Poplatek za uložení stavebního směsného odpadu na skládce (skládkovné)</t>
  </si>
  <si>
    <t>1244105648</t>
  </si>
  <si>
    <t>1,0</t>
  </si>
  <si>
    <t>33</t>
  </si>
  <si>
    <t>998011001</t>
  </si>
  <si>
    <t>Přesun hmot pro budovy zděné v do 6 m</t>
  </si>
  <si>
    <t>2147137042</t>
  </si>
  <si>
    <t>"Omítky" 791,72*0,035*2,2</t>
  </si>
  <si>
    <t>"Dlažba" 174,25*0,06*2,5</t>
  </si>
  <si>
    <t>34</t>
  </si>
  <si>
    <t>998011014</t>
  </si>
  <si>
    <t>Příplatek k přesunu hmot pro budovy zděné za zvětšený přesun do 500 m</t>
  </si>
  <si>
    <t>-697546645</t>
  </si>
  <si>
    <t>60,962</t>
  </si>
  <si>
    <t>53</t>
  </si>
  <si>
    <t>762332132</t>
  </si>
  <si>
    <t>Montáž vázaných kcí krovů pravidelných z hraněného řeziva průřezové plochy do 224 cm2</t>
  </si>
  <si>
    <t>16</t>
  </si>
  <si>
    <t>1724367257</t>
  </si>
  <si>
    <t>118,507</t>
  </si>
  <si>
    <t>54</t>
  </si>
  <si>
    <t>605121210</t>
  </si>
  <si>
    <t>řezivo jehličnaté hranol jakost I délka 4 - 5 m vč. impregnace proti škůdcům</t>
  </si>
  <si>
    <t>-1288154868</t>
  </si>
  <si>
    <t>118,507*0,14*0,16*1,1</t>
  </si>
  <si>
    <t>55</t>
  </si>
  <si>
    <t>762395000</t>
  </si>
  <si>
    <t>Spojovací prostředky pro montáž krovu, bednění, laťování, světlíky, klíny</t>
  </si>
  <si>
    <t>-22495216</t>
  </si>
  <si>
    <t>2,92</t>
  </si>
  <si>
    <t>56</t>
  </si>
  <si>
    <t>998762201</t>
  </si>
  <si>
    <t>Přesun hmot procentní pro kce tesařské v objektech v do 6 m</t>
  </si>
  <si>
    <t>%</t>
  </si>
  <si>
    <t>2020361298</t>
  </si>
  <si>
    <t>57</t>
  </si>
  <si>
    <t>998762294</t>
  </si>
  <si>
    <t>Příplatek k přesunu hmot procentní 762 za zvětšený přesun do 1000 m</t>
  </si>
  <si>
    <t>-653285372</t>
  </si>
  <si>
    <t>764002841</t>
  </si>
  <si>
    <t>Demontáž oplechování horních ploch zdí a nadezdívek do suti</t>
  </si>
  <si>
    <t>-1710551885</t>
  </si>
  <si>
    <t xml:space="preserve">"Oplechování temene zdí, rš. 500" </t>
  </si>
  <si>
    <t>75,907+78,8</t>
  </si>
  <si>
    <t>47</t>
  </si>
  <si>
    <t>764244408</t>
  </si>
  <si>
    <t>Oplechování horních ploch a nadezdívek bez rohů z TiZn předzvětral plechu kotvené rš 750 mm</t>
  </si>
  <si>
    <t>295578484</t>
  </si>
  <si>
    <t>75,907+10,0+8,0+5,3+5,3+8,0+6,0</t>
  </si>
  <si>
    <t>24</t>
  </si>
  <si>
    <t>764245446</t>
  </si>
  <si>
    <t>Příplatek za zvýšenou pracnost při oplechování rohů nadezdívek z TiZn předzvětr plechu rš přes 400mm</t>
  </si>
  <si>
    <t>971132394</t>
  </si>
  <si>
    <t>22</t>
  </si>
  <si>
    <t>48</t>
  </si>
  <si>
    <t>998764201</t>
  </si>
  <si>
    <t>Přesun hmot procentní pro konstrukce klempířské v objektech v do 6 m</t>
  </si>
  <si>
    <t>-363163028</t>
  </si>
  <si>
    <t>49</t>
  </si>
  <si>
    <t>998764293</t>
  </si>
  <si>
    <t>Příplatek k přesunu hmot procentní 764 za zvětšený přesun do 500 m</t>
  </si>
  <si>
    <t>-261706596</t>
  </si>
  <si>
    <t>25</t>
  </si>
  <si>
    <t>765142001</t>
  </si>
  <si>
    <t>Montáž krytiny z polykarbonátových komůrkových desek rovných na kovovou konstrukci</t>
  </si>
  <si>
    <t>2097440613</t>
  </si>
  <si>
    <t>75,907</t>
  </si>
  <si>
    <t>26</t>
  </si>
  <si>
    <t>283187280</t>
  </si>
  <si>
    <t>deska polykarbonátová MAKROLON komůrková 6/20 - 20 čirá</t>
  </si>
  <si>
    <t>1379575461</t>
  </si>
  <si>
    <t>75,907*1,15</t>
  </si>
  <si>
    <t>19</t>
  </si>
  <si>
    <t>765142801</t>
  </si>
  <si>
    <t>Demontáž krytiny z polykarbonátových rovných desek</t>
  </si>
  <si>
    <t>79895386</t>
  </si>
  <si>
    <t>1,0*(5,025+19,80+21,50+5,70+23,882)</t>
  </si>
  <si>
    <t>50</t>
  </si>
  <si>
    <t>998765201</t>
  </si>
  <si>
    <t>Přesun hmot procentní pro krytiny skládané v objektech v do 6 m</t>
  </si>
  <si>
    <t>301352079</t>
  </si>
  <si>
    <t>51</t>
  </si>
  <si>
    <t>998765293</t>
  </si>
  <si>
    <t>Příplatek k přesunu hmot procentní 765 za zvětšený přesun do 500 m</t>
  </si>
  <si>
    <t>418249065</t>
  </si>
  <si>
    <t>59</t>
  </si>
  <si>
    <t>767995112</t>
  </si>
  <si>
    <t>Dodávka a montáž atypických zámečnických konstrukcí - svařované sítě zastřešení</t>
  </si>
  <si>
    <t>kg</t>
  </si>
  <si>
    <t>-1063487512</t>
  </si>
  <si>
    <t>"150/8 - 150/8, žárově zinkované" 2159,47</t>
  </si>
  <si>
    <t>767995113</t>
  </si>
  <si>
    <t>Dodávka a montáž atypických zámečnických konstrukcí - lavičky</t>
  </si>
  <si>
    <t>ks</t>
  </si>
  <si>
    <t>-1094770654</t>
  </si>
  <si>
    <t>"Lavičky ocelové - nerozebíratelné, zaklápěcí - dle PD, žárově zinkované - 80,858 kg/ks" 12</t>
  </si>
  <si>
    <t>61</t>
  </si>
  <si>
    <t>7679951131</t>
  </si>
  <si>
    <t>Dodávka atypických zámečnických konstrukcí - lavičky</t>
  </si>
  <si>
    <t>-507920078</t>
  </si>
  <si>
    <t>"Lavičky ocelové - nerozebíratelné, zaklápěcí - žárově zinkované" 2</t>
  </si>
  <si>
    <t>58</t>
  </si>
  <si>
    <t>767995114</t>
  </si>
  <si>
    <t>Dodávka a montáž atypických zámečnických konstrukcí - ocelové prvky zastřešení</t>
  </si>
  <si>
    <t>-1031976924</t>
  </si>
  <si>
    <t>"Žárově zinkované" 3859,3</t>
  </si>
  <si>
    <t>60</t>
  </si>
  <si>
    <t>7679951141</t>
  </si>
  <si>
    <t>Kotevní prvky, spojovací materiál</t>
  </si>
  <si>
    <t>kpl</t>
  </si>
  <si>
    <t>-2013275405</t>
  </si>
  <si>
    <t>767996701</t>
  </si>
  <si>
    <t>Demontáž atypických zámečnických konstrukcí řezáním</t>
  </si>
  <si>
    <t>-924587980</t>
  </si>
  <si>
    <t>"Demontáž stávajícího ocelového zastřešení vč. ocelových mříží" 278,0</t>
  </si>
  <si>
    <t>27</t>
  </si>
  <si>
    <t>998767201</t>
  </si>
  <si>
    <t>Přesun hmot procentní pro zámečnické konstrukce v objektech v do 6 m</t>
  </si>
  <si>
    <t>25191439</t>
  </si>
  <si>
    <t>28</t>
  </si>
  <si>
    <t>998767293</t>
  </si>
  <si>
    <t>Příplatek k přesunu hmot procentní 767 za zvětšený přesun do 500 m</t>
  </si>
  <si>
    <t>637003604</t>
  </si>
  <si>
    <t>52</t>
  </si>
  <si>
    <t>783224900</t>
  </si>
  <si>
    <t>Opravy nátěrů - nátěr trojnásobný</t>
  </si>
  <si>
    <t>-1103540627</t>
  </si>
  <si>
    <t>"Oprava nátěrů konstrukcí hlídkové věže - ocelové a klempířské konstrukce, okna atd."</t>
  </si>
  <si>
    <t>1,57*3,88*1,9</t>
  </si>
  <si>
    <t>1,8*4*2,5*1,5</t>
  </si>
  <si>
    <t>1,8*1,8*2*1,6</t>
  </si>
  <si>
    <t>3,9*4*2,0*0,7</t>
  </si>
  <si>
    <t>020001000</t>
  </si>
  <si>
    <t>Příprava staveniště</t>
  </si>
  <si>
    <t>1024</t>
  </si>
  <si>
    <t>516984628</t>
  </si>
  <si>
    <t>030001000</t>
  </si>
  <si>
    <t>Zařízení staveniště</t>
  </si>
  <si>
    <t>-554903781</t>
  </si>
  <si>
    <t>3</t>
  </si>
  <si>
    <t>070001000</t>
  </si>
  <si>
    <t>Provozní vlivy</t>
  </si>
  <si>
    <t>699203347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</si>
  <si>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</si>
  <si>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</si>
  <si>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</si>
  <si>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</si>
  <si>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</si>
  <si>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</si>
  <si>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</si>
  <si>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Vazební věznice Hradec Králové</t>
  </si>
  <si>
    <t>Vězeňská služba ČR</t>
  </si>
  <si>
    <t>KRYCÍ LIST ROZPOČTU - SLEPÝ VÝKAZ VÝMĚR</t>
  </si>
  <si>
    <t>SOUHRNNÝ LIST STAVBY - SLEPÝ VÝKAZ VÝMĚR</t>
  </si>
  <si>
    <t>ROZPOČET - SLEPÝ VÝKAZ VÝMĚR</t>
  </si>
  <si>
    <t>Vápenocementová omítka a venkovní vápenný štuk</t>
  </si>
  <si>
    <t>Cementový postřik nanášený celoplošně ručně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</si>
</sst>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9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2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C9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32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99" activePane="bottomLeft" state="frozen"/>
      <selection pane="topLeft" activeCell="A1" sqref="A1"/>
      <selection pane="bottomLeft" activeCell="D87" sqref="D8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397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398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73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9" t="s">
        <v>407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9</v>
      </c>
      <c r="BS4" s="6" t="s">
        <v>10</v>
      </c>
    </row>
    <row r="5" spans="2:71" s="2" customFormat="1" ht="15" customHeight="1">
      <c r="B5" s="10"/>
      <c r="D5" s="13" t="s">
        <v>11</v>
      </c>
      <c r="K5" s="150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1"/>
      <c r="BS5" s="6" t="s">
        <v>6</v>
      </c>
    </row>
    <row r="6" spans="2:71" s="2" customFormat="1" ht="37.5" customHeight="1">
      <c r="B6" s="10"/>
      <c r="D6" s="15" t="s">
        <v>12</v>
      </c>
      <c r="K6" s="151" t="s">
        <v>13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S6" s="6" t="s">
        <v>14</v>
      </c>
    </row>
    <row r="7" spans="2:71" s="2" customFormat="1" ht="15" customHeight="1">
      <c r="B7" s="10"/>
      <c r="D7" s="16" t="s">
        <v>15</v>
      </c>
      <c r="K7" s="14"/>
      <c r="AK7" s="16" t="s">
        <v>16</v>
      </c>
      <c r="AN7" s="14"/>
      <c r="AQ7" s="11"/>
      <c r="BS7" s="6" t="s">
        <v>17</v>
      </c>
    </row>
    <row r="8" spans="2:71" s="2" customFormat="1" ht="15" customHeight="1">
      <c r="B8" s="10"/>
      <c r="D8" s="16" t="s">
        <v>18</v>
      </c>
      <c r="K8" s="14" t="s">
        <v>404</v>
      </c>
      <c r="AK8" s="16" t="s">
        <v>19</v>
      </c>
      <c r="AN8" s="146">
        <v>42964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6" t="s">
        <v>22</v>
      </c>
      <c r="K10" s="2" t="s">
        <v>405</v>
      </c>
      <c r="AK10" s="16" t="s">
        <v>23</v>
      </c>
      <c r="AN10" s="14"/>
      <c r="AQ10" s="11"/>
      <c r="BS10" s="6" t="s">
        <v>14</v>
      </c>
    </row>
    <row r="11" spans="2:71" s="2" customFormat="1" ht="19.5" customHeight="1">
      <c r="B11" s="10"/>
      <c r="E11" s="14" t="s">
        <v>24</v>
      </c>
      <c r="AK11" s="16" t="s">
        <v>25</v>
      </c>
      <c r="AN11" s="14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6" t="s">
        <v>26</v>
      </c>
      <c r="AK13" s="16" t="s">
        <v>23</v>
      </c>
      <c r="AN13" s="14"/>
      <c r="AQ13" s="11"/>
      <c r="BS13" s="6" t="s">
        <v>14</v>
      </c>
    </row>
    <row r="14" spans="2:71" s="2" customFormat="1" ht="15.75" customHeight="1">
      <c r="B14" s="10"/>
      <c r="E14" s="14" t="s">
        <v>24</v>
      </c>
      <c r="AK14" s="16" t="s">
        <v>25</v>
      </c>
      <c r="AN14" s="14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27</v>
      </c>
      <c r="AK16" s="16" t="s">
        <v>23</v>
      </c>
      <c r="AN16" s="14" t="s">
        <v>28</v>
      </c>
      <c r="AQ16" s="11"/>
      <c r="BS16" s="6" t="s">
        <v>3</v>
      </c>
    </row>
    <row r="17" spans="2:71" s="2" customFormat="1" ht="19.5" customHeight="1">
      <c r="B17" s="10"/>
      <c r="E17" s="14" t="s">
        <v>29</v>
      </c>
      <c r="AK17" s="16" t="s">
        <v>25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23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29</v>
      </c>
      <c r="AK20" s="16" t="s">
        <v>25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52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53">
        <f>ROUND($AG$87,2)</f>
        <v>0</v>
      </c>
      <c r="AL26" s="148"/>
      <c r="AM26" s="148"/>
      <c r="AN26" s="148"/>
      <c r="AO26" s="148"/>
      <c r="AQ26" s="11"/>
    </row>
    <row r="27" spans="2:43" s="2" customFormat="1" ht="15" customHeight="1">
      <c r="B27" s="10"/>
      <c r="D27" s="18" t="s">
        <v>34</v>
      </c>
      <c r="AK27" s="153">
        <f>ROUND($AG$90,2)</f>
        <v>0</v>
      </c>
      <c r="AL27" s="148"/>
      <c r="AM27" s="148"/>
      <c r="AN27" s="148"/>
      <c r="AO27" s="148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4">
        <f>ROUND($AK$26+$AK$27,2)</f>
        <v>0</v>
      </c>
      <c r="AL29" s="155"/>
      <c r="AM29" s="155"/>
      <c r="AN29" s="155"/>
      <c r="AO29" s="155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56">
        <v>0.21</v>
      </c>
      <c r="M31" s="157"/>
      <c r="N31" s="157"/>
      <c r="O31" s="157"/>
      <c r="T31" s="26" t="s">
        <v>38</v>
      </c>
      <c r="W31" s="158">
        <f>ROUND($AZ$87+SUM($CD$91:$CD$91),2)</f>
        <v>0</v>
      </c>
      <c r="X31" s="157"/>
      <c r="Y31" s="157"/>
      <c r="Z31" s="157"/>
      <c r="AA31" s="157"/>
      <c r="AB31" s="157"/>
      <c r="AC31" s="157"/>
      <c r="AD31" s="157"/>
      <c r="AE31" s="157"/>
      <c r="AK31" s="158">
        <f>ROUND($AV$87+SUM($BY$91:$BY$91),2)</f>
        <v>0</v>
      </c>
      <c r="AL31" s="157"/>
      <c r="AM31" s="157"/>
      <c r="AN31" s="157"/>
      <c r="AO31" s="157"/>
      <c r="AQ31" s="27"/>
    </row>
    <row r="32" spans="2:43" s="6" customFormat="1" ht="15" customHeight="1">
      <c r="B32" s="23"/>
      <c r="F32" s="24" t="s">
        <v>39</v>
      </c>
      <c r="L32" s="156">
        <v>0.15</v>
      </c>
      <c r="M32" s="157"/>
      <c r="N32" s="157"/>
      <c r="O32" s="157"/>
      <c r="T32" s="26" t="s">
        <v>38</v>
      </c>
      <c r="W32" s="158">
        <f>ROUND($BA$87+SUM($CE$91:$CE$91),2)</f>
        <v>0</v>
      </c>
      <c r="X32" s="157"/>
      <c r="Y32" s="157"/>
      <c r="Z32" s="157"/>
      <c r="AA32" s="157"/>
      <c r="AB32" s="157"/>
      <c r="AC32" s="157"/>
      <c r="AD32" s="157"/>
      <c r="AE32" s="157"/>
      <c r="AK32" s="158">
        <f>ROUND($AW$87+SUM($BZ$91:$BZ$91),2)</f>
        <v>0</v>
      </c>
      <c r="AL32" s="157"/>
      <c r="AM32" s="157"/>
      <c r="AN32" s="157"/>
      <c r="AO32" s="157"/>
      <c r="AQ32" s="27"/>
    </row>
    <row r="33" spans="2:43" s="6" customFormat="1" ht="15" customHeight="1" hidden="1">
      <c r="B33" s="23"/>
      <c r="F33" s="24" t="s">
        <v>40</v>
      </c>
      <c r="L33" s="156">
        <v>0.21</v>
      </c>
      <c r="M33" s="157"/>
      <c r="N33" s="157"/>
      <c r="O33" s="157"/>
      <c r="T33" s="26" t="s">
        <v>38</v>
      </c>
      <c r="W33" s="158">
        <f>ROUND($BB$87+SUM($CF$91:$CF$91),2)</f>
        <v>0</v>
      </c>
      <c r="X33" s="157"/>
      <c r="Y33" s="157"/>
      <c r="Z33" s="157"/>
      <c r="AA33" s="157"/>
      <c r="AB33" s="157"/>
      <c r="AC33" s="157"/>
      <c r="AD33" s="157"/>
      <c r="AE33" s="157"/>
      <c r="AK33" s="158">
        <v>0</v>
      </c>
      <c r="AL33" s="157"/>
      <c r="AM33" s="157"/>
      <c r="AN33" s="157"/>
      <c r="AO33" s="157"/>
      <c r="AQ33" s="27"/>
    </row>
    <row r="34" spans="2:43" s="6" customFormat="1" ht="15" customHeight="1" hidden="1">
      <c r="B34" s="23"/>
      <c r="F34" s="24" t="s">
        <v>41</v>
      </c>
      <c r="L34" s="156">
        <v>0.15</v>
      </c>
      <c r="M34" s="157"/>
      <c r="N34" s="157"/>
      <c r="O34" s="157"/>
      <c r="T34" s="26" t="s">
        <v>38</v>
      </c>
      <c r="W34" s="158">
        <f>ROUND($BC$87+SUM($CG$91:$CG$91),2)</f>
        <v>0</v>
      </c>
      <c r="X34" s="157"/>
      <c r="Y34" s="157"/>
      <c r="Z34" s="157"/>
      <c r="AA34" s="157"/>
      <c r="AB34" s="157"/>
      <c r="AC34" s="157"/>
      <c r="AD34" s="157"/>
      <c r="AE34" s="157"/>
      <c r="AK34" s="158">
        <v>0</v>
      </c>
      <c r="AL34" s="157"/>
      <c r="AM34" s="157"/>
      <c r="AN34" s="157"/>
      <c r="AO34" s="157"/>
      <c r="AQ34" s="27"/>
    </row>
    <row r="35" spans="2:43" s="6" customFormat="1" ht="15" customHeight="1" hidden="1">
      <c r="B35" s="23"/>
      <c r="F35" s="24" t="s">
        <v>42</v>
      </c>
      <c r="L35" s="156">
        <v>0</v>
      </c>
      <c r="M35" s="157"/>
      <c r="N35" s="157"/>
      <c r="O35" s="157"/>
      <c r="T35" s="26" t="s">
        <v>38</v>
      </c>
      <c r="W35" s="158">
        <f>ROUND($BD$87+SUM($CH$91:$CH$91),2)</f>
        <v>0</v>
      </c>
      <c r="X35" s="157"/>
      <c r="Y35" s="157"/>
      <c r="Z35" s="157"/>
      <c r="AA35" s="157"/>
      <c r="AB35" s="157"/>
      <c r="AC35" s="157"/>
      <c r="AD35" s="157"/>
      <c r="AE35" s="157"/>
      <c r="AK35" s="158">
        <v>0</v>
      </c>
      <c r="AL35" s="157"/>
      <c r="AM35" s="157"/>
      <c r="AN35" s="157"/>
      <c r="AO35" s="157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59" t="s">
        <v>45</v>
      </c>
      <c r="Y37" s="160"/>
      <c r="Z37" s="160"/>
      <c r="AA37" s="160"/>
      <c r="AB37" s="160"/>
      <c r="AC37" s="30"/>
      <c r="AD37" s="30"/>
      <c r="AE37" s="30"/>
      <c r="AF37" s="30"/>
      <c r="AG37" s="30"/>
      <c r="AH37" s="30"/>
      <c r="AI37" s="30"/>
      <c r="AJ37" s="30"/>
      <c r="AK37" s="161">
        <f>SUM($AK$29:$AK$35)</f>
        <v>0</v>
      </c>
      <c r="AL37" s="160"/>
      <c r="AM37" s="160"/>
      <c r="AN37" s="160"/>
      <c r="AO37" s="162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9" t="s">
        <v>52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20"/>
    </row>
    <row r="77" spans="2:43" s="14" customFormat="1" ht="15" customHeight="1">
      <c r="B77" s="47"/>
      <c r="C77" s="16" t="s">
        <v>11</v>
      </c>
      <c r="AQ77" s="48"/>
    </row>
    <row r="78" spans="2:43" s="49" customFormat="1" ht="37.5" customHeight="1">
      <c r="B78" s="50"/>
      <c r="C78" s="49" t="s">
        <v>12</v>
      </c>
      <c r="L78" s="168" t="str">
        <f>$K$6</f>
        <v>Vycházkové komůrky vazební věznice - stavební úpravy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18</v>
      </c>
      <c r="L80" s="52" t="str">
        <f>IF($K$8="","",$K$8)</f>
        <v>Vazební věznice Hradec Králové</v>
      </c>
      <c r="AI80" s="16" t="s">
        <v>19</v>
      </c>
      <c r="AM80" s="53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22</v>
      </c>
      <c r="L82" s="14" t="s">
        <v>405</v>
      </c>
      <c r="AI82" s="16" t="s">
        <v>27</v>
      </c>
      <c r="AM82" s="150" t="str">
        <f>IF($E$17="","",$E$17)</f>
        <v>Ing. Petr Mašek</v>
      </c>
      <c r="AN82" s="163"/>
      <c r="AO82" s="163"/>
      <c r="AP82" s="163"/>
      <c r="AQ82" s="20"/>
      <c r="AS82" s="176" t="s">
        <v>53</v>
      </c>
      <c r="AT82" s="177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26</v>
      </c>
      <c r="L83" s="14" t="str">
        <f>IF($E$14="","",$E$14)</f>
        <v> </v>
      </c>
      <c r="AI83" s="16" t="s">
        <v>31</v>
      </c>
      <c r="AM83" s="150" t="str">
        <f>IF($E$20="","",$E$20)</f>
        <v>Ing. Petr Mašek</v>
      </c>
      <c r="AN83" s="163"/>
      <c r="AO83" s="163"/>
      <c r="AP83" s="163"/>
      <c r="AQ83" s="20"/>
      <c r="AS83" s="178"/>
      <c r="AT83" s="163"/>
      <c r="BD83" s="54"/>
    </row>
    <row r="84" spans="2:56" s="6" customFormat="1" ht="12" customHeight="1">
      <c r="B84" s="19"/>
      <c r="AQ84" s="20"/>
      <c r="AS84" s="178"/>
      <c r="AT84" s="163"/>
      <c r="BD84" s="54"/>
    </row>
    <row r="85" spans="2:57" s="6" customFormat="1" ht="30" customHeight="1">
      <c r="B85" s="19"/>
      <c r="C85" s="169" t="s">
        <v>54</v>
      </c>
      <c r="D85" s="160"/>
      <c r="E85" s="160"/>
      <c r="F85" s="160"/>
      <c r="G85" s="160"/>
      <c r="H85" s="30"/>
      <c r="I85" s="170" t="s">
        <v>55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70" t="s">
        <v>56</v>
      </c>
      <c r="AH85" s="160"/>
      <c r="AI85" s="160"/>
      <c r="AJ85" s="160"/>
      <c r="AK85" s="160"/>
      <c r="AL85" s="160"/>
      <c r="AM85" s="160"/>
      <c r="AN85" s="170" t="s">
        <v>57</v>
      </c>
      <c r="AO85" s="160"/>
      <c r="AP85" s="162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6">
        <f>ROUND($AG$88,2)</f>
        <v>0</v>
      </c>
      <c r="AH87" s="167"/>
      <c r="AI87" s="167"/>
      <c r="AJ87" s="167"/>
      <c r="AK87" s="167"/>
      <c r="AL87" s="167"/>
      <c r="AM87" s="167"/>
      <c r="AN87" s="166">
        <f>SUM($AG$87,$AT$87)</f>
        <v>0</v>
      </c>
      <c r="AO87" s="167"/>
      <c r="AP87" s="167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3012.83566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71</v>
      </c>
      <c r="BT87" s="49" t="s">
        <v>72</v>
      </c>
      <c r="BV87" s="49" t="s">
        <v>73</v>
      </c>
      <c r="BW87" s="49" t="s">
        <v>74</v>
      </c>
      <c r="BX87" s="49" t="s">
        <v>75</v>
      </c>
    </row>
    <row r="88" spans="1:76" s="65" customFormat="1" ht="28.5" customHeight="1">
      <c r="A88" s="140" t="s">
        <v>399</v>
      </c>
      <c r="B88" s="66"/>
      <c r="C88" s="67"/>
      <c r="D88" s="164"/>
      <c r="E88" s="165"/>
      <c r="F88" s="165"/>
      <c r="G88" s="165"/>
      <c r="H88" s="165"/>
      <c r="I88" s="67"/>
      <c r="J88" s="164" t="s">
        <v>13</v>
      </c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74">
        <f>'Vycházkové komůrky'!$M$29</f>
        <v>0</v>
      </c>
      <c r="AH88" s="175"/>
      <c r="AI88" s="175"/>
      <c r="AJ88" s="175"/>
      <c r="AK88" s="175"/>
      <c r="AL88" s="175"/>
      <c r="AM88" s="175"/>
      <c r="AN88" s="174">
        <f>SUM($AG$88,$AT$88)</f>
        <v>0</v>
      </c>
      <c r="AO88" s="175"/>
      <c r="AP88" s="175"/>
      <c r="AQ88" s="68"/>
      <c r="AS88" s="69">
        <f>'Vycházkové komůrky'!$M$27</f>
        <v>0</v>
      </c>
      <c r="AT88" s="70">
        <f>ROUND(SUM($AV$88:$AW$88),2)</f>
        <v>0</v>
      </c>
      <c r="AU88" s="71">
        <f>'Vycházkové komůrky'!$W$124</f>
        <v>3012.835658</v>
      </c>
      <c r="AV88" s="70">
        <f>'Vycházkové komůrky'!$M$31</f>
        <v>0</v>
      </c>
      <c r="AW88" s="70">
        <f>'Vycházkové komůrky'!$M$32</f>
        <v>0</v>
      </c>
      <c r="AX88" s="70">
        <f>'Vycházkové komůrky'!$M$33</f>
        <v>0</v>
      </c>
      <c r="AY88" s="70">
        <f>'Vycházkové komůrky'!$M$34</f>
        <v>0</v>
      </c>
      <c r="AZ88" s="70">
        <f>'Vycházkové komůrky'!$H$31</f>
        <v>0</v>
      </c>
      <c r="BA88" s="70">
        <f>'Vycházkové komůrky'!$H$32</f>
        <v>0</v>
      </c>
      <c r="BB88" s="70">
        <f>'Vycházkové komůrky'!$H$33</f>
        <v>0</v>
      </c>
      <c r="BC88" s="70">
        <f>'Vycházkové komůrky'!$H$34</f>
        <v>0</v>
      </c>
      <c r="BD88" s="72">
        <f>'Vycházkové komůrky'!$H$35</f>
        <v>0</v>
      </c>
      <c r="BT88" s="65" t="s">
        <v>17</v>
      </c>
      <c r="BU88" s="65" t="s">
        <v>76</v>
      </c>
      <c r="BV88" s="65" t="s">
        <v>73</v>
      </c>
      <c r="BW88" s="65" t="s">
        <v>74</v>
      </c>
      <c r="BX88" s="65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77</v>
      </c>
      <c r="AG90" s="166">
        <v>0</v>
      </c>
      <c r="AH90" s="163"/>
      <c r="AI90" s="163"/>
      <c r="AJ90" s="163"/>
      <c r="AK90" s="163"/>
      <c r="AL90" s="163"/>
      <c r="AM90" s="163"/>
      <c r="AN90" s="166">
        <v>0</v>
      </c>
      <c r="AO90" s="163"/>
      <c r="AP90" s="163"/>
      <c r="AQ90" s="20"/>
      <c r="AS90" s="55" t="s">
        <v>78</v>
      </c>
      <c r="AT90" s="56" t="s">
        <v>79</v>
      </c>
      <c r="AU90" s="56" t="s">
        <v>36</v>
      </c>
      <c r="AV90" s="57" t="s">
        <v>59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3" t="s">
        <v>80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71">
        <f>ROUND($AG$87+$AG$90,2)</f>
        <v>0</v>
      </c>
      <c r="AH92" s="172"/>
      <c r="AI92" s="172"/>
      <c r="AJ92" s="172"/>
      <c r="AK92" s="172"/>
      <c r="AL92" s="172"/>
      <c r="AM92" s="172"/>
      <c r="AN92" s="171">
        <f>$AN$87+$AN$90</f>
        <v>0</v>
      </c>
      <c r="AO92" s="172"/>
      <c r="AP92" s="172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7-02014-17 - Vycházkové k...'!C2" tooltip="7-02014-17 - Vycházkové k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showGridLines="0" tabSelected="1" zoomScalePageLayoutView="0" workbookViewId="0" topLeftCell="A1">
      <pane ySplit="1" topLeftCell="A135" activePane="bottomLeft" state="frozen"/>
      <selection pane="topLeft" activeCell="A1" sqref="A1"/>
      <selection pane="bottomLeft" activeCell="F144" sqref="F144:I14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400</v>
      </c>
      <c r="G1" s="144"/>
      <c r="H1" s="206" t="s">
        <v>401</v>
      </c>
      <c r="I1" s="206"/>
      <c r="J1" s="206"/>
      <c r="K1" s="206"/>
      <c r="L1" s="144" t="s">
        <v>402</v>
      </c>
      <c r="M1" s="142"/>
      <c r="N1" s="142"/>
      <c r="O1" s="143" t="s">
        <v>81</v>
      </c>
      <c r="P1" s="142"/>
      <c r="Q1" s="142"/>
      <c r="R1" s="142"/>
      <c r="S1" s="144" t="s">
        <v>403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73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49" t="s">
        <v>406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12</v>
      </c>
      <c r="F6" s="151" t="s">
        <v>13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R6" s="20"/>
    </row>
    <row r="7" spans="2:18" s="6" customFormat="1" ht="15" customHeight="1">
      <c r="B7" s="19"/>
      <c r="D7" s="16" t="s">
        <v>15</v>
      </c>
      <c r="F7" s="14"/>
      <c r="M7" s="16" t="s">
        <v>16</v>
      </c>
      <c r="O7" s="14"/>
      <c r="R7" s="20"/>
    </row>
    <row r="8" spans="2:18" s="6" customFormat="1" ht="15" customHeight="1">
      <c r="B8" s="19"/>
      <c r="D8" s="16" t="s">
        <v>18</v>
      </c>
      <c r="F8" s="14" t="s">
        <v>404</v>
      </c>
      <c r="M8" s="16" t="s">
        <v>19</v>
      </c>
      <c r="O8" s="179">
        <f>'Rekapitulace stavby'!$AN$8</f>
        <v>42964</v>
      </c>
      <c r="P8" s="163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22</v>
      </c>
      <c r="M10" s="16" t="s">
        <v>23</v>
      </c>
      <c r="O10" s="150">
        <f>IF('Rekapitulace stavby'!$AN$10="","",'Rekapitulace stavby'!$AN$10)</f>
      </c>
      <c r="P10" s="163"/>
      <c r="R10" s="20"/>
    </row>
    <row r="11" spans="2:18" s="6" customFormat="1" ht="18.75" customHeight="1">
      <c r="B11" s="19"/>
      <c r="E11" s="14" t="s">
        <v>405</v>
      </c>
      <c r="M11" s="16" t="s">
        <v>25</v>
      </c>
      <c r="O11" s="150">
        <f>IF('Rekapitulace stavby'!$AN$11="","",'Rekapitulace stavby'!$AN$11)</f>
      </c>
      <c r="P11" s="163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26</v>
      </c>
      <c r="M13" s="16" t="s">
        <v>23</v>
      </c>
      <c r="O13" s="150">
        <f>IF('Rekapitulace stavby'!$AN$13="","",'Rekapitulace stavby'!$AN$13)</f>
      </c>
      <c r="P13" s="163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25</v>
      </c>
      <c r="O14" s="150">
        <f>IF('Rekapitulace stavby'!$AN$14="","",'Rekapitulace stavby'!$AN$14)</f>
      </c>
      <c r="P14" s="163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27</v>
      </c>
      <c r="M16" s="16" t="s">
        <v>23</v>
      </c>
      <c r="O16" s="150" t="s">
        <v>28</v>
      </c>
      <c r="P16" s="163"/>
      <c r="R16" s="20"/>
    </row>
    <row r="17" spans="2:18" s="6" customFormat="1" ht="18.75" customHeight="1">
      <c r="B17" s="19"/>
      <c r="E17" s="14" t="s">
        <v>29</v>
      </c>
      <c r="M17" s="16" t="s">
        <v>25</v>
      </c>
      <c r="O17" s="150"/>
      <c r="P17" s="163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23</v>
      </c>
      <c r="O19" s="150"/>
      <c r="P19" s="163"/>
      <c r="R19" s="20"/>
    </row>
    <row r="20" spans="2:18" s="6" customFormat="1" ht="18.75" customHeight="1">
      <c r="B20" s="19"/>
      <c r="E20" s="14" t="s">
        <v>29</v>
      </c>
      <c r="M20" s="16" t="s">
        <v>25</v>
      </c>
      <c r="O20" s="150"/>
      <c r="P20" s="163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32</v>
      </c>
      <c r="R22" s="20"/>
    </row>
    <row r="23" spans="2:18" s="74" customFormat="1" ht="15.75" customHeight="1">
      <c r="B23" s="75"/>
      <c r="E23" s="152"/>
      <c r="F23" s="180"/>
      <c r="G23" s="180"/>
      <c r="H23" s="180"/>
      <c r="I23" s="180"/>
      <c r="J23" s="180"/>
      <c r="K23" s="180"/>
      <c r="L23" s="180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83</v>
      </c>
      <c r="M26" s="153">
        <f>$N$87</f>
        <v>0</v>
      </c>
      <c r="N26" s="163"/>
      <c r="O26" s="163"/>
      <c r="P26" s="163"/>
      <c r="R26" s="20"/>
    </row>
    <row r="27" spans="2:18" s="6" customFormat="1" ht="15" customHeight="1">
      <c r="B27" s="19"/>
      <c r="D27" s="18" t="s">
        <v>84</v>
      </c>
      <c r="M27" s="153">
        <f>$N$106</f>
        <v>0</v>
      </c>
      <c r="N27" s="163"/>
      <c r="O27" s="163"/>
      <c r="P27" s="163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35</v>
      </c>
      <c r="M29" s="181">
        <f>ROUND($M$26+$M$27,2)</f>
        <v>0</v>
      </c>
      <c r="N29" s="163"/>
      <c r="O29" s="163"/>
      <c r="P29" s="163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36</v>
      </c>
      <c r="E31" s="24" t="s">
        <v>37</v>
      </c>
      <c r="F31" s="25">
        <v>0.21</v>
      </c>
      <c r="G31" s="79" t="s">
        <v>38</v>
      </c>
      <c r="H31" s="182">
        <f>ROUND((SUM($BE$106:$BE$107)+SUM($BE$124:$BE$266)),2)</f>
        <v>0</v>
      </c>
      <c r="I31" s="163"/>
      <c r="J31" s="163"/>
      <c r="M31" s="182">
        <f>ROUND(ROUND((SUM($BE$106:$BE$107)+SUM($BE$124:$BE$266)),2)*$F$31,2)</f>
        <v>0</v>
      </c>
      <c r="N31" s="163"/>
      <c r="O31" s="163"/>
      <c r="P31" s="163"/>
      <c r="R31" s="20"/>
    </row>
    <row r="32" spans="2:18" s="6" customFormat="1" ht="15" customHeight="1">
      <c r="B32" s="19"/>
      <c r="E32" s="24" t="s">
        <v>39</v>
      </c>
      <c r="F32" s="25">
        <v>0.15</v>
      </c>
      <c r="G32" s="79" t="s">
        <v>38</v>
      </c>
      <c r="H32" s="182">
        <f>ROUND((SUM($BF$106:$BF$107)+SUM($BF$124:$BF$266)),2)</f>
        <v>0</v>
      </c>
      <c r="I32" s="163"/>
      <c r="J32" s="163"/>
      <c r="M32" s="182">
        <f>ROUND(ROUND((SUM($BF$106:$BF$107)+SUM($BF$124:$BF$266)),2)*$F$32,2)</f>
        <v>0</v>
      </c>
      <c r="N32" s="163"/>
      <c r="O32" s="163"/>
      <c r="P32" s="163"/>
      <c r="R32" s="20"/>
    </row>
    <row r="33" spans="2:18" s="6" customFormat="1" ht="15" customHeight="1" hidden="1">
      <c r="B33" s="19"/>
      <c r="E33" s="24" t="s">
        <v>40</v>
      </c>
      <c r="F33" s="25">
        <v>0.21</v>
      </c>
      <c r="G33" s="79" t="s">
        <v>38</v>
      </c>
      <c r="H33" s="182">
        <f>ROUND((SUM($BG$106:$BG$107)+SUM($BG$124:$BG$266)),2)</f>
        <v>0</v>
      </c>
      <c r="I33" s="163"/>
      <c r="J33" s="163"/>
      <c r="M33" s="182">
        <v>0</v>
      </c>
      <c r="N33" s="163"/>
      <c r="O33" s="163"/>
      <c r="P33" s="163"/>
      <c r="R33" s="20"/>
    </row>
    <row r="34" spans="2:18" s="6" customFormat="1" ht="15" customHeight="1" hidden="1">
      <c r="B34" s="19"/>
      <c r="E34" s="24" t="s">
        <v>41</v>
      </c>
      <c r="F34" s="25">
        <v>0.15</v>
      </c>
      <c r="G34" s="79" t="s">
        <v>38</v>
      </c>
      <c r="H34" s="182">
        <f>ROUND((SUM($BH$106:$BH$107)+SUM($BH$124:$BH$266)),2)</f>
        <v>0</v>
      </c>
      <c r="I34" s="163"/>
      <c r="J34" s="163"/>
      <c r="M34" s="182">
        <v>0</v>
      </c>
      <c r="N34" s="163"/>
      <c r="O34" s="163"/>
      <c r="P34" s="163"/>
      <c r="R34" s="20"/>
    </row>
    <row r="35" spans="2:18" s="6" customFormat="1" ht="15" customHeight="1" hidden="1">
      <c r="B35" s="19"/>
      <c r="E35" s="24" t="s">
        <v>42</v>
      </c>
      <c r="F35" s="25">
        <v>0</v>
      </c>
      <c r="G35" s="79" t="s">
        <v>38</v>
      </c>
      <c r="H35" s="182">
        <f>ROUND((SUM($BI$106:$BI$107)+SUM($BI$124:$BI$266)),2)</f>
        <v>0</v>
      </c>
      <c r="I35" s="163"/>
      <c r="J35" s="163"/>
      <c r="M35" s="182">
        <v>0</v>
      </c>
      <c r="N35" s="163"/>
      <c r="O35" s="163"/>
      <c r="P35" s="163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43</v>
      </c>
      <c r="E37" s="30"/>
      <c r="F37" s="30"/>
      <c r="G37" s="80" t="s">
        <v>44</v>
      </c>
      <c r="H37" s="31" t="s">
        <v>45</v>
      </c>
      <c r="I37" s="30"/>
      <c r="J37" s="30"/>
      <c r="K37" s="30"/>
      <c r="L37" s="161">
        <f>SUM($M$29:$M$35)</f>
        <v>0</v>
      </c>
      <c r="M37" s="160"/>
      <c r="N37" s="160"/>
      <c r="O37" s="160"/>
      <c r="P37" s="162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9" t="s">
        <v>85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12</v>
      </c>
      <c r="F78" s="168" t="str">
        <f>$F$6</f>
        <v>Vycházkové komůrky vazební věznice - stavební úpravy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18</v>
      </c>
      <c r="F80" s="14" t="str">
        <f>$F$8</f>
        <v>Vazební věznice Hradec Králové</v>
      </c>
      <c r="K80" s="16" t="s">
        <v>19</v>
      </c>
      <c r="M80" s="179">
        <f>IF($O$8="","",$O$8)</f>
        <v>42964</v>
      </c>
      <c r="N80" s="163"/>
      <c r="O80" s="163"/>
      <c r="P80" s="163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22</v>
      </c>
      <c r="F82" s="14" t="str">
        <f>$E$11</f>
        <v>Vězeňská služba ČR</v>
      </c>
      <c r="K82" s="16" t="s">
        <v>27</v>
      </c>
      <c r="M82" s="150" t="str">
        <f>$E$17</f>
        <v>Ing. Petr Mašek</v>
      </c>
      <c r="N82" s="163"/>
      <c r="O82" s="163"/>
      <c r="P82" s="163"/>
      <c r="Q82" s="163"/>
      <c r="R82" s="20"/>
    </row>
    <row r="83" spans="2:18" s="6" customFormat="1" ht="15" customHeight="1">
      <c r="B83" s="19"/>
      <c r="C83" s="16" t="s">
        <v>26</v>
      </c>
      <c r="F83" s="14" t="str">
        <f>IF($E$14="","",$E$14)</f>
        <v> </v>
      </c>
      <c r="K83" s="16" t="s">
        <v>31</v>
      </c>
      <c r="M83" s="150" t="str">
        <f>$E$20</f>
        <v>Ing. Petr Mašek</v>
      </c>
      <c r="N83" s="163"/>
      <c r="O83" s="163"/>
      <c r="P83" s="163"/>
      <c r="Q83" s="163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83" t="s">
        <v>86</v>
      </c>
      <c r="D85" s="172"/>
      <c r="E85" s="172"/>
      <c r="F85" s="172"/>
      <c r="G85" s="172"/>
      <c r="H85" s="28"/>
      <c r="I85" s="28"/>
      <c r="J85" s="28"/>
      <c r="K85" s="28"/>
      <c r="L85" s="28"/>
      <c r="M85" s="28"/>
      <c r="N85" s="183" t="s">
        <v>87</v>
      </c>
      <c r="O85" s="163"/>
      <c r="P85" s="163"/>
      <c r="Q85" s="163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88</v>
      </c>
      <c r="N87" s="166">
        <f>$N$124</f>
        <v>0</v>
      </c>
      <c r="O87" s="163"/>
      <c r="P87" s="163"/>
      <c r="Q87" s="163"/>
      <c r="R87" s="20"/>
      <c r="AU87" s="6" t="s">
        <v>89</v>
      </c>
    </row>
    <row r="88" spans="2:18" s="81" customFormat="1" ht="25.5" customHeight="1">
      <c r="B88" s="82"/>
      <c r="D88" s="83" t="s">
        <v>90</v>
      </c>
      <c r="N88" s="184">
        <f>$N$125</f>
        <v>0</v>
      </c>
      <c r="O88" s="185"/>
      <c r="P88" s="185"/>
      <c r="Q88" s="185"/>
      <c r="R88" s="84"/>
    </row>
    <row r="89" spans="2:18" s="77" customFormat="1" ht="21" customHeight="1">
      <c r="B89" s="85"/>
      <c r="D89" s="86" t="s">
        <v>91</v>
      </c>
      <c r="N89" s="186">
        <f>$N$126</f>
        <v>0</v>
      </c>
      <c r="O89" s="185"/>
      <c r="P89" s="185"/>
      <c r="Q89" s="185"/>
      <c r="R89" s="87"/>
    </row>
    <row r="90" spans="2:18" s="77" customFormat="1" ht="21" customHeight="1">
      <c r="B90" s="85"/>
      <c r="D90" s="86" t="s">
        <v>92</v>
      </c>
      <c r="N90" s="186">
        <f>$N$135</f>
        <v>0</v>
      </c>
      <c r="O90" s="185"/>
      <c r="P90" s="185"/>
      <c r="Q90" s="185"/>
      <c r="R90" s="87"/>
    </row>
    <row r="91" spans="2:18" s="77" customFormat="1" ht="21" customHeight="1">
      <c r="B91" s="85"/>
      <c r="D91" s="86" t="s">
        <v>93</v>
      </c>
      <c r="N91" s="186">
        <f>$N$141</f>
        <v>0</v>
      </c>
      <c r="O91" s="185"/>
      <c r="P91" s="185"/>
      <c r="Q91" s="185"/>
      <c r="R91" s="87"/>
    </row>
    <row r="92" spans="2:18" s="77" customFormat="1" ht="21" customHeight="1">
      <c r="B92" s="85"/>
      <c r="D92" s="86" t="s">
        <v>94</v>
      </c>
      <c r="N92" s="186">
        <f>$N$146</f>
        <v>0</v>
      </c>
      <c r="O92" s="185"/>
      <c r="P92" s="185"/>
      <c r="Q92" s="185"/>
      <c r="R92" s="87"/>
    </row>
    <row r="93" spans="2:18" s="77" customFormat="1" ht="21" customHeight="1">
      <c r="B93" s="85"/>
      <c r="D93" s="86" t="s">
        <v>95</v>
      </c>
      <c r="N93" s="186">
        <f>$N$175</f>
        <v>0</v>
      </c>
      <c r="O93" s="185"/>
      <c r="P93" s="185"/>
      <c r="Q93" s="185"/>
      <c r="R93" s="87"/>
    </row>
    <row r="94" spans="2:18" s="77" customFormat="1" ht="21" customHeight="1">
      <c r="B94" s="85"/>
      <c r="D94" s="86" t="s">
        <v>96</v>
      </c>
      <c r="N94" s="186">
        <f>$N$199</f>
        <v>0</v>
      </c>
      <c r="O94" s="185"/>
      <c r="P94" s="185"/>
      <c r="Q94" s="185"/>
      <c r="R94" s="87"/>
    </row>
    <row r="95" spans="2:18" s="81" customFormat="1" ht="25.5" customHeight="1">
      <c r="B95" s="82"/>
      <c r="D95" s="83" t="s">
        <v>97</v>
      </c>
      <c r="N95" s="184">
        <f>$N$206</f>
        <v>0</v>
      </c>
      <c r="O95" s="185"/>
      <c r="P95" s="185"/>
      <c r="Q95" s="185"/>
      <c r="R95" s="84"/>
    </row>
    <row r="96" spans="2:18" s="77" customFormat="1" ht="21" customHeight="1">
      <c r="B96" s="85"/>
      <c r="D96" s="86" t="s">
        <v>98</v>
      </c>
      <c r="N96" s="186">
        <f>$N$207</f>
        <v>0</v>
      </c>
      <c r="O96" s="185"/>
      <c r="P96" s="185"/>
      <c r="Q96" s="185"/>
      <c r="R96" s="87"/>
    </row>
    <row r="97" spans="2:18" s="77" customFormat="1" ht="21" customHeight="1">
      <c r="B97" s="85"/>
      <c r="D97" s="86" t="s">
        <v>99</v>
      </c>
      <c r="N97" s="186">
        <f>$N$216</f>
        <v>0</v>
      </c>
      <c r="O97" s="185"/>
      <c r="P97" s="185"/>
      <c r="Q97" s="185"/>
      <c r="R97" s="87"/>
    </row>
    <row r="98" spans="2:18" s="77" customFormat="1" ht="21" customHeight="1">
      <c r="B98" s="85"/>
      <c r="D98" s="86" t="s">
        <v>100</v>
      </c>
      <c r="N98" s="186">
        <f>$N$226</f>
        <v>0</v>
      </c>
      <c r="O98" s="185"/>
      <c r="P98" s="185"/>
      <c r="Q98" s="185"/>
      <c r="R98" s="87"/>
    </row>
    <row r="99" spans="2:18" s="77" customFormat="1" ht="21" customHeight="1">
      <c r="B99" s="85"/>
      <c r="D99" s="86" t="s">
        <v>101</v>
      </c>
      <c r="N99" s="186">
        <f>$N$235</f>
        <v>0</v>
      </c>
      <c r="O99" s="185"/>
      <c r="P99" s="185"/>
      <c r="Q99" s="185"/>
      <c r="R99" s="87"/>
    </row>
    <row r="100" spans="2:18" s="77" customFormat="1" ht="21" customHeight="1">
      <c r="B100" s="85"/>
      <c r="D100" s="86" t="s">
        <v>102</v>
      </c>
      <c r="N100" s="186">
        <f>$N$249</f>
        <v>0</v>
      </c>
      <c r="O100" s="185"/>
      <c r="P100" s="185"/>
      <c r="Q100" s="185"/>
      <c r="R100" s="87"/>
    </row>
    <row r="101" spans="2:18" s="81" customFormat="1" ht="25.5" customHeight="1">
      <c r="B101" s="82"/>
      <c r="D101" s="83" t="s">
        <v>103</v>
      </c>
      <c r="N101" s="184">
        <f>$N$257</f>
        <v>0</v>
      </c>
      <c r="O101" s="185"/>
      <c r="P101" s="185"/>
      <c r="Q101" s="185"/>
      <c r="R101" s="84"/>
    </row>
    <row r="102" spans="2:18" s="77" customFormat="1" ht="21" customHeight="1">
      <c r="B102" s="85"/>
      <c r="D102" s="86" t="s">
        <v>104</v>
      </c>
      <c r="N102" s="186">
        <f>$N$258</f>
        <v>0</v>
      </c>
      <c r="O102" s="185"/>
      <c r="P102" s="185"/>
      <c r="Q102" s="185"/>
      <c r="R102" s="87"/>
    </row>
    <row r="103" spans="2:18" s="77" customFormat="1" ht="21" customHeight="1">
      <c r="B103" s="85"/>
      <c r="D103" s="86" t="s">
        <v>105</v>
      </c>
      <c r="N103" s="186">
        <f>$N$261</f>
        <v>0</v>
      </c>
      <c r="O103" s="185"/>
      <c r="P103" s="185"/>
      <c r="Q103" s="185"/>
      <c r="R103" s="87"/>
    </row>
    <row r="104" spans="2:18" s="77" customFormat="1" ht="21" customHeight="1">
      <c r="B104" s="85"/>
      <c r="D104" s="86" t="s">
        <v>106</v>
      </c>
      <c r="N104" s="186">
        <f>$N$264</f>
        <v>0</v>
      </c>
      <c r="O104" s="185"/>
      <c r="P104" s="185"/>
      <c r="Q104" s="185"/>
      <c r="R104" s="87"/>
    </row>
    <row r="105" spans="2:18" s="6" customFormat="1" ht="22.5" customHeight="1">
      <c r="B105" s="19"/>
      <c r="R105" s="20"/>
    </row>
    <row r="106" spans="2:21" s="6" customFormat="1" ht="30" customHeight="1">
      <c r="B106" s="19"/>
      <c r="C106" s="60" t="s">
        <v>107</v>
      </c>
      <c r="N106" s="166">
        <v>0</v>
      </c>
      <c r="O106" s="163"/>
      <c r="P106" s="163"/>
      <c r="Q106" s="163"/>
      <c r="R106" s="20"/>
      <c r="T106" s="88"/>
      <c r="U106" s="89" t="s">
        <v>36</v>
      </c>
    </row>
    <row r="107" spans="2:18" s="6" customFormat="1" ht="18.75" customHeight="1">
      <c r="B107" s="19"/>
      <c r="R107" s="20"/>
    </row>
    <row r="108" spans="2:18" s="6" customFormat="1" ht="30" customHeight="1">
      <c r="B108" s="19"/>
      <c r="C108" s="73" t="s">
        <v>80</v>
      </c>
      <c r="D108" s="28"/>
      <c r="E108" s="28"/>
      <c r="F108" s="28"/>
      <c r="G108" s="28"/>
      <c r="H108" s="28"/>
      <c r="I108" s="28"/>
      <c r="J108" s="28"/>
      <c r="K108" s="28"/>
      <c r="L108" s="171">
        <f>ROUND(SUM($N$87+$N$106),2)</f>
        <v>0</v>
      </c>
      <c r="M108" s="172"/>
      <c r="N108" s="172"/>
      <c r="O108" s="172"/>
      <c r="P108" s="172"/>
      <c r="Q108" s="172"/>
      <c r="R108" s="20"/>
    </row>
    <row r="109" spans="2:18" s="6" customFormat="1" ht="7.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3" spans="2:18" s="6" customFormat="1" ht="7.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6" customFormat="1" ht="37.5" customHeight="1">
      <c r="B114" s="19"/>
      <c r="C114" s="149" t="s">
        <v>408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20"/>
    </row>
    <row r="115" spans="2:18" s="6" customFormat="1" ht="7.5" customHeight="1">
      <c r="B115" s="19"/>
      <c r="R115" s="20"/>
    </row>
    <row r="116" spans="2:18" s="6" customFormat="1" ht="37.5" customHeight="1">
      <c r="B116" s="19"/>
      <c r="C116" s="49" t="s">
        <v>12</v>
      </c>
      <c r="F116" s="168" t="str">
        <f>$F$6</f>
        <v>Vycházkové komůrky vazební věznice - stavební úpravy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R116" s="20"/>
    </row>
    <row r="117" spans="2:18" s="6" customFormat="1" ht="7.5" customHeight="1">
      <c r="B117" s="19"/>
      <c r="R117" s="20"/>
    </row>
    <row r="118" spans="2:18" s="6" customFormat="1" ht="18.75" customHeight="1">
      <c r="B118" s="19"/>
      <c r="C118" s="16" t="s">
        <v>18</v>
      </c>
      <c r="F118" s="14" t="str">
        <f>$F$8</f>
        <v>Vazební věznice Hradec Králové</v>
      </c>
      <c r="K118" s="16" t="s">
        <v>19</v>
      </c>
      <c r="M118" s="179">
        <f>IF($O$8="","",$O$8)</f>
        <v>42964</v>
      </c>
      <c r="N118" s="163"/>
      <c r="O118" s="163"/>
      <c r="P118" s="163"/>
      <c r="R118" s="20"/>
    </row>
    <row r="119" spans="2:18" s="6" customFormat="1" ht="7.5" customHeight="1">
      <c r="B119" s="19"/>
      <c r="R119" s="20"/>
    </row>
    <row r="120" spans="2:18" s="6" customFormat="1" ht="15.75" customHeight="1">
      <c r="B120" s="19"/>
      <c r="C120" s="16" t="s">
        <v>22</v>
      </c>
      <c r="F120" s="14" t="str">
        <f>$E$11</f>
        <v>Vězeňská služba ČR</v>
      </c>
      <c r="K120" s="16" t="s">
        <v>27</v>
      </c>
      <c r="M120" s="150" t="str">
        <f>$E$17</f>
        <v>Ing. Petr Mašek</v>
      </c>
      <c r="N120" s="163"/>
      <c r="O120" s="163"/>
      <c r="P120" s="163"/>
      <c r="Q120" s="163"/>
      <c r="R120" s="20"/>
    </row>
    <row r="121" spans="2:18" s="6" customFormat="1" ht="15" customHeight="1">
      <c r="B121" s="19"/>
      <c r="C121" s="16" t="s">
        <v>26</v>
      </c>
      <c r="F121" s="14" t="str">
        <f>IF($E$14="","",$E$14)</f>
        <v> </v>
      </c>
      <c r="K121" s="16" t="s">
        <v>31</v>
      </c>
      <c r="M121" s="150" t="str">
        <f>$E$20</f>
        <v>Ing. Petr Mašek</v>
      </c>
      <c r="N121" s="163"/>
      <c r="O121" s="163"/>
      <c r="P121" s="163"/>
      <c r="Q121" s="163"/>
      <c r="R121" s="20"/>
    </row>
    <row r="122" spans="2:18" s="6" customFormat="1" ht="11.25" customHeight="1">
      <c r="B122" s="19"/>
      <c r="R122" s="20"/>
    </row>
    <row r="123" spans="2:27" s="90" customFormat="1" ht="30" customHeight="1">
      <c r="B123" s="91"/>
      <c r="C123" s="92" t="s">
        <v>108</v>
      </c>
      <c r="D123" s="93" t="s">
        <v>109</v>
      </c>
      <c r="E123" s="93" t="s">
        <v>54</v>
      </c>
      <c r="F123" s="187" t="s">
        <v>110</v>
      </c>
      <c r="G123" s="188"/>
      <c r="H123" s="188"/>
      <c r="I123" s="188"/>
      <c r="J123" s="93" t="s">
        <v>111</v>
      </c>
      <c r="K123" s="93" t="s">
        <v>112</v>
      </c>
      <c r="L123" s="187" t="s">
        <v>113</v>
      </c>
      <c r="M123" s="188"/>
      <c r="N123" s="187" t="s">
        <v>114</v>
      </c>
      <c r="O123" s="188"/>
      <c r="P123" s="188"/>
      <c r="Q123" s="189"/>
      <c r="R123" s="94"/>
      <c r="T123" s="55" t="s">
        <v>115</v>
      </c>
      <c r="U123" s="56" t="s">
        <v>36</v>
      </c>
      <c r="V123" s="56" t="s">
        <v>116</v>
      </c>
      <c r="W123" s="56" t="s">
        <v>117</v>
      </c>
      <c r="X123" s="56" t="s">
        <v>118</v>
      </c>
      <c r="Y123" s="56" t="s">
        <v>119</v>
      </c>
      <c r="Z123" s="56" t="s">
        <v>120</v>
      </c>
      <c r="AA123" s="57" t="s">
        <v>121</v>
      </c>
    </row>
    <row r="124" spans="2:63" s="6" customFormat="1" ht="30" customHeight="1">
      <c r="B124" s="19"/>
      <c r="C124" s="60" t="s">
        <v>83</v>
      </c>
      <c r="N124" s="205">
        <f>$BK$124</f>
        <v>0</v>
      </c>
      <c r="O124" s="163"/>
      <c r="P124" s="163"/>
      <c r="Q124" s="163"/>
      <c r="R124" s="20"/>
      <c r="T124" s="59"/>
      <c r="U124" s="33"/>
      <c r="V124" s="33"/>
      <c r="W124" s="95">
        <f>$W$125+$W$206+$W$257</f>
        <v>3012.835658</v>
      </c>
      <c r="X124" s="33"/>
      <c r="Y124" s="95">
        <f>$Y$125+$Y$206+$Y$257</f>
        <v>58.35645935</v>
      </c>
      <c r="Z124" s="33"/>
      <c r="AA124" s="96">
        <f>$AA$125+$AA$206+$AA$257</f>
        <v>145.48900299</v>
      </c>
      <c r="AT124" s="6" t="s">
        <v>71</v>
      </c>
      <c r="AU124" s="6" t="s">
        <v>89</v>
      </c>
      <c r="BK124" s="97">
        <f>$BK$125+$BK$206+$BK$257</f>
        <v>0</v>
      </c>
    </row>
    <row r="125" spans="2:63" s="98" customFormat="1" ht="37.5" customHeight="1">
      <c r="B125" s="99"/>
      <c r="D125" s="100" t="s">
        <v>90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204">
        <f>$BK$125</f>
        <v>0</v>
      </c>
      <c r="O125" s="203"/>
      <c r="P125" s="203"/>
      <c r="Q125" s="203"/>
      <c r="R125" s="102"/>
      <c r="T125" s="103"/>
      <c r="W125" s="104">
        <f>$W$126+$W$135+$W$141+$W$146+$W$175+$W$199</f>
        <v>1972.082423</v>
      </c>
      <c r="Y125" s="104">
        <f>$Y$126+$Y$135+$Y$141+$Y$146+$Y$175+$Y$199</f>
        <v>55.4731815</v>
      </c>
      <c r="AA125" s="105">
        <f>$AA$126+$AA$135+$AA$141+$AA$146+$AA$175+$AA$199</f>
        <v>144.71359999999999</v>
      </c>
      <c r="AR125" s="101" t="s">
        <v>17</v>
      </c>
      <c r="AT125" s="101" t="s">
        <v>71</v>
      </c>
      <c r="AU125" s="101" t="s">
        <v>72</v>
      </c>
      <c r="AY125" s="101" t="s">
        <v>122</v>
      </c>
      <c r="BK125" s="106">
        <f>$BK$126+$BK$135+$BK$141+$BK$146+$BK$175+$BK$199</f>
        <v>0</v>
      </c>
    </row>
    <row r="126" spans="2:63" s="98" customFormat="1" ht="21" customHeight="1">
      <c r="B126" s="99"/>
      <c r="D126" s="107" t="s">
        <v>91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202">
        <f>$BK$126</f>
        <v>0</v>
      </c>
      <c r="O126" s="203"/>
      <c r="P126" s="203"/>
      <c r="Q126" s="203"/>
      <c r="R126" s="102"/>
      <c r="T126" s="103"/>
      <c r="W126" s="104">
        <f>SUM($W$127:$W$134)</f>
        <v>33.9801</v>
      </c>
      <c r="Y126" s="104">
        <f>SUM($Y$127:$Y$134)</f>
        <v>0</v>
      </c>
      <c r="AA126" s="105">
        <f>SUM($AA$127:$AA$134)</f>
        <v>42.0706</v>
      </c>
      <c r="AR126" s="101" t="s">
        <v>17</v>
      </c>
      <c r="AT126" s="101" t="s">
        <v>71</v>
      </c>
      <c r="AU126" s="101" t="s">
        <v>17</v>
      </c>
      <c r="AY126" s="101" t="s">
        <v>122</v>
      </c>
      <c r="BK126" s="106">
        <f>SUM($BK$127:$BK$134)</f>
        <v>0</v>
      </c>
    </row>
    <row r="127" spans="2:65" s="6" customFormat="1" ht="27" customHeight="1">
      <c r="B127" s="19"/>
      <c r="C127" s="108" t="s">
        <v>123</v>
      </c>
      <c r="D127" s="108" t="s">
        <v>124</v>
      </c>
      <c r="E127" s="109" t="s">
        <v>125</v>
      </c>
      <c r="F127" s="190" t="s">
        <v>126</v>
      </c>
      <c r="G127" s="191"/>
      <c r="H127" s="191"/>
      <c r="I127" s="191"/>
      <c r="J127" s="110" t="s">
        <v>127</v>
      </c>
      <c r="K127" s="111">
        <v>161.81</v>
      </c>
      <c r="L127" s="192"/>
      <c r="M127" s="191"/>
      <c r="N127" s="192">
        <f>ROUND($L$127*$K$127,2)</f>
        <v>0</v>
      </c>
      <c r="O127" s="191"/>
      <c r="P127" s="191"/>
      <c r="Q127" s="191"/>
      <c r="R127" s="20"/>
      <c r="T127" s="112"/>
      <c r="U127" s="26" t="s">
        <v>37</v>
      </c>
      <c r="V127" s="113">
        <v>0.21</v>
      </c>
      <c r="W127" s="113">
        <f>$V$127*$K$127</f>
        <v>33.9801</v>
      </c>
      <c r="X127" s="113">
        <v>0</v>
      </c>
      <c r="Y127" s="113">
        <f>$X$127*$K$127</f>
        <v>0</v>
      </c>
      <c r="Z127" s="113">
        <v>0.26</v>
      </c>
      <c r="AA127" s="114">
        <f>$Z$127*$K$127</f>
        <v>42.0706</v>
      </c>
      <c r="AR127" s="6" t="s">
        <v>128</v>
      </c>
      <c r="AT127" s="6" t="s">
        <v>124</v>
      </c>
      <c r="AU127" s="6" t="s">
        <v>82</v>
      </c>
      <c r="AY127" s="6" t="s">
        <v>122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17</v>
      </c>
      <c r="BK127" s="115">
        <f>ROUND($L$127*$K$127,2)</f>
        <v>0</v>
      </c>
      <c r="BL127" s="6" t="s">
        <v>128</v>
      </c>
      <c r="BM127" s="6" t="s">
        <v>129</v>
      </c>
    </row>
    <row r="128" spans="2:51" s="6" customFormat="1" ht="18.75" customHeight="1">
      <c r="B128" s="116"/>
      <c r="E128" s="117"/>
      <c r="F128" s="193" t="s">
        <v>130</v>
      </c>
      <c r="G128" s="194"/>
      <c r="H128" s="194"/>
      <c r="I128" s="194"/>
      <c r="K128" s="118">
        <v>27.53</v>
      </c>
      <c r="R128" s="119"/>
      <c r="T128" s="120"/>
      <c r="AA128" s="121"/>
      <c r="AT128" s="117" t="s">
        <v>131</v>
      </c>
      <c r="AU128" s="117" t="s">
        <v>82</v>
      </c>
      <c r="AV128" s="117" t="s">
        <v>82</v>
      </c>
      <c r="AW128" s="117" t="s">
        <v>89</v>
      </c>
      <c r="AX128" s="117" t="s">
        <v>72</v>
      </c>
      <c r="AY128" s="117" t="s">
        <v>122</v>
      </c>
    </row>
    <row r="129" spans="2:51" s="6" customFormat="1" ht="18.75" customHeight="1">
      <c r="B129" s="116"/>
      <c r="E129" s="117"/>
      <c r="F129" s="193" t="s">
        <v>132</v>
      </c>
      <c r="G129" s="194"/>
      <c r="H129" s="194"/>
      <c r="I129" s="194"/>
      <c r="K129" s="118">
        <v>13.99</v>
      </c>
      <c r="R129" s="119"/>
      <c r="T129" s="120"/>
      <c r="AA129" s="121"/>
      <c r="AT129" s="117" t="s">
        <v>131</v>
      </c>
      <c r="AU129" s="117" t="s">
        <v>82</v>
      </c>
      <c r="AV129" s="117" t="s">
        <v>82</v>
      </c>
      <c r="AW129" s="117" t="s">
        <v>89</v>
      </c>
      <c r="AX129" s="117" t="s">
        <v>72</v>
      </c>
      <c r="AY129" s="117" t="s">
        <v>122</v>
      </c>
    </row>
    <row r="130" spans="2:51" s="6" customFormat="1" ht="18.75" customHeight="1">
      <c r="B130" s="116"/>
      <c r="E130" s="117"/>
      <c r="F130" s="193" t="s">
        <v>133</v>
      </c>
      <c r="G130" s="194"/>
      <c r="H130" s="194"/>
      <c r="I130" s="194"/>
      <c r="K130" s="118">
        <v>18.14</v>
      </c>
      <c r="R130" s="119"/>
      <c r="T130" s="120"/>
      <c r="AA130" s="121"/>
      <c r="AT130" s="117" t="s">
        <v>131</v>
      </c>
      <c r="AU130" s="117" t="s">
        <v>82</v>
      </c>
      <c r="AV130" s="117" t="s">
        <v>82</v>
      </c>
      <c r="AW130" s="117" t="s">
        <v>89</v>
      </c>
      <c r="AX130" s="117" t="s">
        <v>72</v>
      </c>
      <c r="AY130" s="117" t="s">
        <v>122</v>
      </c>
    </row>
    <row r="131" spans="2:51" s="6" customFormat="1" ht="18.75" customHeight="1">
      <c r="B131" s="116"/>
      <c r="E131" s="117"/>
      <c r="F131" s="193" t="s">
        <v>134</v>
      </c>
      <c r="G131" s="194"/>
      <c r="H131" s="194"/>
      <c r="I131" s="194"/>
      <c r="K131" s="118">
        <v>31.37</v>
      </c>
      <c r="R131" s="119"/>
      <c r="T131" s="120"/>
      <c r="AA131" s="121"/>
      <c r="AT131" s="117" t="s">
        <v>131</v>
      </c>
      <c r="AU131" s="117" t="s">
        <v>82</v>
      </c>
      <c r="AV131" s="117" t="s">
        <v>82</v>
      </c>
      <c r="AW131" s="117" t="s">
        <v>89</v>
      </c>
      <c r="AX131" s="117" t="s">
        <v>72</v>
      </c>
      <c r="AY131" s="117" t="s">
        <v>122</v>
      </c>
    </row>
    <row r="132" spans="2:51" s="6" customFormat="1" ht="18.75" customHeight="1">
      <c r="B132" s="116"/>
      <c r="E132" s="117"/>
      <c r="F132" s="193" t="s">
        <v>135</v>
      </c>
      <c r="G132" s="194"/>
      <c r="H132" s="194"/>
      <c r="I132" s="194"/>
      <c r="K132" s="118">
        <v>44.66</v>
      </c>
      <c r="R132" s="119"/>
      <c r="T132" s="120"/>
      <c r="AA132" s="121"/>
      <c r="AT132" s="117" t="s">
        <v>131</v>
      </c>
      <c r="AU132" s="117" t="s">
        <v>82</v>
      </c>
      <c r="AV132" s="117" t="s">
        <v>82</v>
      </c>
      <c r="AW132" s="117" t="s">
        <v>89</v>
      </c>
      <c r="AX132" s="117" t="s">
        <v>72</v>
      </c>
      <c r="AY132" s="117" t="s">
        <v>122</v>
      </c>
    </row>
    <row r="133" spans="2:51" s="6" customFormat="1" ht="18.75" customHeight="1">
      <c r="B133" s="116"/>
      <c r="E133" s="117"/>
      <c r="F133" s="193" t="s">
        <v>136</v>
      </c>
      <c r="G133" s="194"/>
      <c r="H133" s="194"/>
      <c r="I133" s="194"/>
      <c r="K133" s="118">
        <v>26.12</v>
      </c>
      <c r="R133" s="119"/>
      <c r="T133" s="120"/>
      <c r="AA133" s="121"/>
      <c r="AT133" s="117" t="s">
        <v>131</v>
      </c>
      <c r="AU133" s="117" t="s">
        <v>82</v>
      </c>
      <c r="AV133" s="117" t="s">
        <v>82</v>
      </c>
      <c r="AW133" s="117" t="s">
        <v>89</v>
      </c>
      <c r="AX133" s="117" t="s">
        <v>72</v>
      </c>
      <c r="AY133" s="117" t="s">
        <v>122</v>
      </c>
    </row>
    <row r="134" spans="2:51" s="6" customFormat="1" ht="18.75" customHeight="1">
      <c r="B134" s="122"/>
      <c r="E134" s="123"/>
      <c r="F134" s="195" t="s">
        <v>137</v>
      </c>
      <c r="G134" s="196"/>
      <c r="H134" s="196"/>
      <c r="I134" s="196"/>
      <c r="K134" s="124">
        <v>161.81</v>
      </c>
      <c r="R134" s="125"/>
      <c r="T134" s="126"/>
      <c r="AA134" s="127"/>
      <c r="AT134" s="123" t="s">
        <v>131</v>
      </c>
      <c r="AU134" s="123" t="s">
        <v>82</v>
      </c>
      <c r="AV134" s="123" t="s">
        <v>128</v>
      </c>
      <c r="AW134" s="123" t="s">
        <v>89</v>
      </c>
      <c r="AX134" s="123" t="s">
        <v>17</v>
      </c>
      <c r="AY134" s="123" t="s">
        <v>122</v>
      </c>
    </row>
    <row r="135" spans="2:63" s="98" customFormat="1" ht="30.75" customHeight="1">
      <c r="B135" s="99"/>
      <c r="D135" s="107" t="s">
        <v>92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202">
        <f>$BK$135</f>
        <v>0</v>
      </c>
      <c r="O135" s="203"/>
      <c r="P135" s="203"/>
      <c r="Q135" s="203"/>
      <c r="R135" s="102"/>
      <c r="T135" s="103"/>
      <c r="W135" s="104">
        <f>SUM($W$136:$W$140)</f>
        <v>136.78625</v>
      </c>
      <c r="Y135" s="104">
        <f>SUM($Y$136:$Y$140)</f>
        <v>16.6834025</v>
      </c>
      <c r="AA135" s="105">
        <f>SUM($AA$136:$AA$140)</f>
        <v>0</v>
      </c>
      <c r="AR135" s="101" t="s">
        <v>17</v>
      </c>
      <c r="AT135" s="101" t="s">
        <v>71</v>
      </c>
      <c r="AU135" s="101" t="s">
        <v>17</v>
      </c>
      <c r="AY135" s="101" t="s">
        <v>122</v>
      </c>
      <c r="BK135" s="106">
        <f>SUM($BK$136:$BK$140)</f>
        <v>0</v>
      </c>
    </row>
    <row r="136" spans="2:65" s="6" customFormat="1" ht="27" customHeight="1">
      <c r="B136" s="19"/>
      <c r="C136" s="128" t="s">
        <v>138</v>
      </c>
      <c r="D136" s="128" t="s">
        <v>139</v>
      </c>
      <c r="E136" s="129" t="s">
        <v>140</v>
      </c>
      <c r="F136" s="197" t="s">
        <v>141</v>
      </c>
      <c r="G136" s="198"/>
      <c r="H136" s="198"/>
      <c r="I136" s="198"/>
      <c r="J136" s="130" t="s">
        <v>127</v>
      </c>
      <c r="K136" s="131">
        <v>14.306</v>
      </c>
      <c r="L136" s="199"/>
      <c r="M136" s="198"/>
      <c r="N136" s="199">
        <f>ROUND($L$136*$K$136,2)</f>
        <v>0</v>
      </c>
      <c r="O136" s="191"/>
      <c r="P136" s="191"/>
      <c r="Q136" s="191"/>
      <c r="R136" s="20"/>
      <c r="T136" s="112"/>
      <c r="U136" s="26" t="s">
        <v>37</v>
      </c>
      <c r="V136" s="113">
        <v>0</v>
      </c>
      <c r="W136" s="113">
        <f>$V$136*$K$136</f>
        <v>0</v>
      </c>
      <c r="X136" s="113">
        <v>0.14</v>
      </c>
      <c r="Y136" s="113">
        <f>$X$136*$K$136</f>
        <v>2.00284</v>
      </c>
      <c r="Z136" s="113">
        <v>0</v>
      </c>
      <c r="AA136" s="114">
        <f>$Z$136*$K$136</f>
        <v>0</v>
      </c>
      <c r="AR136" s="6" t="s">
        <v>142</v>
      </c>
      <c r="AT136" s="6" t="s">
        <v>139</v>
      </c>
      <c r="AU136" s="6" t="s">
        <v>82</v>
      </c>
      <c r="AY136" s="6" t="s">
        <v>122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17</v>
      </c>
      <c r="BK136" s="115">
        <f>ROUND($L$136*$K$136,2)</f>
        <v>0</v>
      </c>
      <c r="BL136" s="6" t="s">
        <v>128</v>
      </c>
      <c r="BM136" s="6" t="s">
        <v>143</v>
      </c>
    </row>
    <row r="137" spans="2:51" s="6" customFormat="1" ht="32.25" customHeight="1">
      <c r="B137" s="132"/>
      <c r="E137" s="133"/>
      <c r="F137" s="200" t="s">
        <v>144</v>
      </c>
      <c r="G137" s="201"/>
      <c r="H137" s="201"/>
      <c r="I137" s="201"/>
      <c r="K137" s="133"/>
      <c r="R137" s="134"/>
      <c r="T137" s="135"/>
      <c r="AA137" s="136"/>
      <c r="AT137" s="133" t="s">
        <v>131</v>
      </c>
      <c r="AU137" s="133" t="s">
        <v>82</v>
      </c>
      <c r="AV137" s="133" t="s">
        <v>17</v>
      </c>
      <c r="AW137" s="133" t="s">
        <v>89</v>
      </c>
      <c r="AX137" s="133" t="s">
        <v>72</v>
      </c>
      <c r="AY137" s="133" t="s">
        <v>122</v>
      </c>
    </row>
    <row r="138" spans="2:51" s="6" customFormat="1" ht="18.75" customHeight="1">
      <c r="B138" s="116"/>
      <c r="E138" s="117"/>
      <c r="F138" s="193" t="s">
        <v>145</v>
      </c>
      <c r="G138" s="194"/>
      <c r="H138" s="194"/>
      <c r="I138" s="194"/>
      <c r="K138" s="118">
        <v>14.306</v>
      </c>
      <c r="R138" s="119"/>
      <c r="T138" s="120"/>
      <c r="AA138" s="121"/>
      <c r="AT138" s="117" t="s">
        <v>131</v>
      </c>
      <c r="AU138" s="117" t="s">
        <v>82</v>
      </c>
      <c r="AV138" s="117" t="s">
        <v>82</v>
      </c>
      <c r="AW138" s="117" t="s">
        <v>89</v>
      </c>
      <c r="AX138" s="117" t="s">
        <v>17</v>
      </c>
      <c r="AY138" s="117" t="s">
        <v>122</v>
      </c>
    </row>
    <row r="139" spans="2:65" s="6" customFormat="1" ht="27" customHeight="1">
      <c r="B139" s="19"/>
      <c r="C139" s="108" t="s">
        <v>146</v>
      </c>
      <c r="D139" s="108" t="s">
        <v>124</v>
      </c>
      <c r="E139" s="109" t="s">
        <v>147</v>
      </c>
      <c r="F139" s="190" t="s">
        <v>148</v>
      </c>
      <c r="G139" s="191"/>
      <c r="H139" s="191"/>
      <c r="I139" s="191"/>
      <c r="J139" s="110" t="s">
        <v>127</v>
      </c>
      <c r="K139" s="111">
        <v>174.25</v>
      </c>
      <c r="L139" s="192"/>
      <c r="M139" s="191"/>
      <c r="N139" s="192">
        <f>ROUND($L$139*$K$139,2)</f>
        <v>0</v>
      </c>
      <c r="O139" s="191"/>
      <c r="P139" s="191"/>
      <c r="Q139" s="191"/>
      <c r="R139" s="20"/>
      <c r="T139" s="112"/>
      <c r="U139" s="26" t="s">
        <v>37</v>
      </c>
      <c r="V139" s="113">
        <v>0.785</v>
      </c>
      <c r="W139" s="113">
        <f>$V$139*$K$139</f>
        <v>136.78625</v>
      </c>
      <c r="X139" s="113">
        <v>0.08425</v>
      </c>
      <c r="Y139" s="113">
        <f>$X$139*$K$139</f>
        <v>14.6805625</v>
      </c>
      <c r="Z139" s="113">
        <v>0</v>
      </c>
      <c r="AA139" s="114">
        <f>$Z$139*$K$139</f>
        <v>0</v>
      </c>
      <c r="AR139" s="6" t="s">
        <v>128</v>
      </c>
      <c r="AT139" s="6" t="s">
        <v>124</v>
      </c>
      <c r="AU139" s="6" t="s">
        <v>82</v>
      </c>
      <c r="AY139" s="6" t="s">
        <v>122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17</v>
      </c>
      <c r="BK139" s="115">
        <f>ROUND($L$139*$K$139,2)</f>
        <v>0</v>
      </c>
      <c r="BL139" s="6" t="s">
        <v>128</v>
      </c>
      <c r="BM139" s="6" t="s">
        <v>149</v>
      </c>
    </row>
    <row r="140" spans="2:51" s="6" customFormat="1" ht="18.75" customHeight="1">
      <c r="B140" s="116"/>
      <c r="E140" s="117"/>
      <c r="F140" s="193" t="s">
        <v>150</v>
      </c>
      <c r="G140" s="194"/>
      <c r="H140" s="194"/>
      <c r="I140" s="194"/>
      <c r="K140" s="118">
        <v>174.25</v>
      </c>
      <c r="R140" s="119"/>
      <c r="T140" s="120"/>
      <c r="AA140" s="121"/>
      <c r="AT140" s="117" t="s">
        <v>131</v>
      </c>
      <c r="AU140" s="117" t="s">
        <v>82</v>
      </c>
      <c r="AV140" s="117" t="s">
        <v>82</v>
      </c>
      <c r="AW140" s="117" t="s">
        <v>89</v>
      </c>
      <c r="AX140" s="117" t="s">
        <v>17</v>
      </c>
      <c r="AY140" s="117" t="s">
        <v>122</v>
      </c>
    </row>
    <row r="141" spans="2:63" s="98" customFormat="1" ht="30.75" customHeight="1">
      <c r="B141" s="99"/>
      <c r="D141" s="107" t="s">
        <v>93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202">
        <f>$BK$141</f>
        <v>0</v>
      </c>
      <c r="O141" s="203"/>
      <c r="P141" s="203"/>
      <c r="Q141" s="203"/>
      <c r="R141" s="102"/>
      <c r="T141" s="103"/>
      <c r="W141" s="104">
        <f>SUM($W$142:$W$145)</f>
        <v>591.41484</v>
      </c>
      <c r="Y141" s="104">
        <f>SUM($Y$142:$Y$145)</f>
        <v>38.754694</v>
      </c>
      <c r="AA141" s="105">
        <f>SUM($AA$142:$AA$145)</f>
        <v>0</v>
      </c>
      <c r="AR141" s="101" t="s">
        <v>17</v>
      </c>
      <c r="AT141" s="101" t="s">
        <v>71</v>
      </c>
      <c r="AU141" s="101" t="s">
        <v>17</v>
      </c>
      <c r="AY141" s="101" t="s">
        <v>122</v>
      </c>
      <c r="BK141" s="106">
        <f>SUM($BK$142:$BK$145)</f>
        <v>0</v>
      </c>
    </row>
    <row r="142" spans="2:65" s="6" customFormat="1" ht="27" customHeight="1">
      <c r="B142" s="19"/>
      <c r="C142" s="108" t="s">
        <v>151</v>
      </c>
      <c r="D142" s="108" t="s">
        <v>124</v>
      </c>
      <c r="E142" s="109" t="s">
        <v>152</v>
      </c>
      <c r="F142" s="190" t="s">
        <v>410</v>
      </c>
      <c r="G142" s="191"/>
      <c r="H142" s="191"/>
      <c r="I142" s="191"/>
      <c r="J142" s="110" t="s">
        <v>127</v>
      </c>
      <c r="K142" s="111">
        <v>791.72</v>
      </c>
      <c r="L142" s="192"/>
      <c r="M142" s="191"/>
      <c r="N142" s="192">
        <f>ROUND($L$142*$K$142,2)</f>
        <v>0</v>
      </c>
      <c r="O142" s="191"/>
      <c r="P142" s="191"/>
      <c r="Q142" s="191"/>
      <c r="R142" s="20"/>
      <c r="T142" s="112"/>
      <c r="U142" s="26" t="s">
        <v>37</v>
      </c>
      <c r="V142" s="113">
        <v>0.087</v>
      </c>
      <c r="W142" s="113">
        <f>$V$142*$K$142</f>
        <v>68.87964</v>
      </c>
      <c r="X142" s="113">
        <v>0.00735</v>
      </c>
      <c r="Y142" s="113">
        <f>$X$142*$K$142</f>
        <v>5.819142</v>
      </c>
      <c r="Z142" s="113">
        <v>0</v>
      </c>
      <c r="AA142" s="114">
        <f>$Z$142*$K$142</f>
        <v>0</v>
      </c>
      <c r="AR142" s="6" t="s">
        <v>128</v>
      </c>
      <c r="AT142" s="6" t="s">
        <v>124</v>
      </c>
      <c r="AU142" s="6" t="s">
        <v>82</v>
      </c>
      <c r="AY142" s="6" t="s">
        <v>122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17</v>
      </c>
      <c r="BK142" s="115">
        <f>ROUND($L$142*$K$142,2)</f>
        <v>0</v>
      </c>
      <c r="BL142" s="6" t="s">
        <v>128</v>
      </c>
      <c r="BM142" s="6" t="s">
        <v>153</v>
      </c>
    </row>
    <row r="143" spans="2:51" s="6" customFormat="1" ht="18.75" customHeight="1">
      <c r="B143" s="116"/>
      <c r="E143" s="117"/>
      <c r="F143" s="193" t="s">
        <v>154</v>
      </c>
      <c r="G143" s="194"/>
      <c r="H143" s="194"/>
      <c r="I143" s="194"/>
      <c r="K143" s="118">
        <v>791.72</v>
      </c>
      <c r="R143" s="119"/>
      <c r="T143" s="120"/>
      <c r="AA143" s="121"/>
      <c r="AT143" s="117" t="s">
        <v>131</v>
      </c>
      <c r="AU143" s="117" t="s">
        <v>82</v>
      </c>
      <c r="AV143" s="117" t="s">
        <v>82</v>
      </c>
      <c r="AW143" s="117" t="s">
        <v>89</v>
      </c>
      <c r="AX143" s="117" t="s">
        <v>17</v>
      </c>
      <c r="AY143" s="117" t="s">
        <v>122</v>
      </c>
    </row>
    <row r="144" spans="2:65" s="6" customFormat="1" ht="27" customHeight="1">
      <c r="B144" s="19"/>
      <c r="C144" s="108" t="s">
        <v>155</v>
      </c>
      <c r="D144" s="108" t="s">
        <v>124</v>
      </c>
      <c r="E144" s="109" t="s">
        <v>156</v>
      </c>
      <c r="F144" s="190" t="s">
        <v>409</v>
      </c>
      <c r="G144" s="191"/>
      <c r="H144" s="191"/>
      <c r="I144" s="191"/>
      <c r="J144" s="110" t="s">
        <v>127</v>
      </c>
      <c r="K144" s="111">
        <v>791.72</v>
      </c>
      <c r="L144" s="192"/>
      <c r="M144" s="191"/>
      <c r="N144" s="192">
        <f>ROUND($L$144*$K$144,2)</f>
        <v>0</v>
      </c>
      <c r="O144" s="191"/>
      <c r="P144" s="191"/>
      <c r="Q144" s="191"/>
      <c r="R144" s="20"/>
      <c r="T144" s="112"/>
      <c r="U144" s="26" t="s">
        <v>37</v>
      </c>
      <c r="V144" s="113">
        <v>0.66</v>
      </c>
      <c r="W144" s="113">
        <f>$V$144*$K$144</f>
        <v>522.5352</v>
      </c>
      <c r="X144" s="113">
        <v>0.0416</v>
      </c>
      <c r="Y144" s="113">
        <f>$X$144*$K$144</f>
        <v>32.935552</v>
      </c>
      <c r="Z144" s="113">
        <v>0</v>
      </c>
      <c r="AA144" s="114">
        <f>$Z$144*$K$144</f>
        <v>0</v>
      </c>
      <c r="AR144" s="6" t="s">
        <v>128</v>
      </c>
      <c r="AT144" s="6" t="s">
        <v>124</v>
      </c>
      <c r="AU144" s="6" t="s">
        <v>82</v>
      </c>
      <c r="AY144" s="6" t="s">
        <v>122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17</v>
      </c>
      <c r="BK144" s="115">
        <f>ROUND($L$144*$K$144,2)</f>
        <v>0</v>
      </c>
      <c r="BL144" s="6" t="s">
        <v>128</v>
      </c>
      <c r="BM144" s="6" t="s">
        <v>157</v>
      </c>
    </row>
    <row r="145" spans="2:51" s="6" customFormat="1" ht="18.75" customHeight="1">
      <c r="B145" s="116"/>
      <c r="E145" s="117"/>
      <c r="F145" s="193" t="s">
        <v>154</v>
      </c>
      <c r="G145" s="194"/>
      <c r="H145" s="194"/>
      <c r="I145" s="194"/>
      <c r="K145" s="118">
        <v>791.72</v>
      </c>
      <c r="R145" s="119"/>
      <c r="T145" s="120"/>
      <c r="AA145" s="121"/>
      <c r="AT145" s="117" t="s">
        <v>131</v>
      </c>
      <c r="AU145" s="117" t="s">
        <v>82</v>
      </c>
      <c r="AV145" s="117" t="s">
        <v>82</v>
      </c>
      <c r="AW145" s="117" t="s">
        <v>89</v>
      </c>
      <c r="AX145" s="117" t="s">
        <v>17</v>
      </c>
      <c r="AY145" s="117" t="s">
        <v>122</v>
      </c>
    </row>
    <row r="146" spans="2:63" s="98" customFormat="1" ht="30.75" customHeight="1">
      <c r="B146" s="99"/>
      <c r="D146" s="107" t="s">
        <v>94</v>
      </c>
      <c r="E146" s="107"/>
      <c r="F146" s="107"/>
      <c r="G146" s="107"/>
      <c r="H146" s="107"/>
      <c r="I146" s="107"/>
      <c r="J146" s="107"/>
      <c r="K146" s="107"/>
      <c r="L146" s="107"/>
      <c r="M146" s="107"/>
      <c r="N146" s="202">
        <f>$BK$146</f>
        <v>0</v>
      </c>
      <c r="O146" s="203"/>
      <c r="P146" s="203"/>
      <c r="Q146" s="203"/>
      <c r="R146" s="102"/>
      <c r="T146" s="103"/>
      <c r="W146" s="104">
        <f>SUM($W$147:$W$174)</f>
        <v>481.19099200000005</v>
      </c>
      <c r="Y146" s="104">
        <f>SUM($Y$147:$Y$174)</f>
        <v>0.035085</v>
      </c>
      <c r="AA146" s="105">
        <f>SUM($AA$147:$AA$174)</f>
        <v>102.643</v>
      </c>
      <c r="AR146" s="101" t="s">
        <v>17</v>
      </c>
      <c r="AT146" s="101" t="s">
        <v>71</v>
      </c>
      <c r="AU146" s="101" t="s">
        <v>17</v>
      </c>
      <c r="AY146" s="101" t="s">
        <v>122</v>
      </c>
      <c r="BK146" s="106">
        <f>SUM($BK$147:$BK$174)</f>
        <v>0</v>
      </c>
    </row>
    <row r="147" spans="2:65" s="6" customFormat="1" ht="27" customHeight="1">
      <c r="B147" s="19"/>
      <c r="C147" s="108" t="s">
        <v>158</v>
      </c>
      <c r="D147" s="108" t="s">
        <v>124</v>
      </c>
      <c r="E147" s="109" t="s">
        <v>159</v>
      </c>
      <c r="F147" s="190" t="s">
        <v>160</v>
      </c>
      <c r="G147" s="191"/>
      <c r="H147" s="191"/>
      <c r="I147" s="191"/>
      <c r="J147" s="110" t="s">
        <v>161</v>
      </c>
      <c r="K147" s="111">
        <v>2</v>
      </c>
      <c r="L147" s="192"/>
      <c r="M147" s="191"/>
      <c r="N147" s="192">
        <f>ROUND($L$147*$K$147,2)</f>
        <v>0</v>
      </c>
      <c r="O147" s="191"/>
      <c r="P147" s="191"/>
      <c r="Q147" s="191"/>
      <c r="R147" s="20"/>
      <c r="T147" s="112"/>
      <c r="U147" s="26" t="s">
        <v>37</v>
      </c>
      <c r="V147" s="113">
        <v>4.056</v>
      </c>
      <c r="W147" s="113">
        <f>$V$147*$K$147</f>
        <v>8.112</v>
      </c>
      <c r="X147" s="113">
        <v>0</v>
      </c>
      <c r="Y147" s="113">
        <f>$X$147*$K$147</f>
        <v>0</v>
      </c>
      <c r="Z147" s="113">
        <v>0</v>
      </c>
      <c r="AA147" s="114">
        <f>$Z$147*$K$147</f>
        <v>0</v>
      </c>
      <c r="AR147" s="6" t="s">
        <v>128</v>
      </c>
      <c r="AT147" s="6" t="s">
        <v>124</v>
      </c>
      <c r="AU147" s="6" t="s">
        <v>82</v>
      </c>
      <c r="AY147" s="6" t="s">
        <v>122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17</v>
      </c>
      <c r="BK147" s="115">
        <f>ROUND($L$147*$K$147,2)</f>
        <v>0</v>
      </c>
      <c r="BL147" s="6" t="s">
        <v>128</v>
      </c>
      <c r="BM147" s="6" t="s">
        <v>162</v>
      </c>
    </row>
    <row r="148" spans="2:51" s="6" customFormat="1" ht="18.75" customHeight="1">
      <c r="B148" s="116"/>
      <c r="E148" s="117"/>
      <c r="F148" s="193" t="s">
        <v>82</v>
      </c>
      <c r="G148" s="194"/>
      <c r="H148" s="194"/>
      <c r="I148" s="194"/>
      <c r="K148" s="118">
        <v>2</v>
      </c>
      <c r="R148" s="119"/>
      <c r="T148" s="120"/>
      <c r="AA148" s="121"/>
      <c r="AT148" s="117" t="s">
        <v>131</v>
      </c>
      <c r="AU148" s="117" t="s">
        <v>82</v>
      </c>
      <c r="AV148" s="117" t="s">
        <v>82</v>
      </c>
      <c r="AW148" s="117" t="s">
        <v>89</v>
      </c>
      <c r="AX148" s="117" t="s">
        <v>17</v>
      </c>
      <c r="AY148" s="117" t="s">
        <v>122</v>
      </c>
    </row>
    <row r="149" spans="2:65" s="6" customFormat="1" ht="27" customHeight="1">
      <c r="B149" s="19"/>
      <c r="C149" s="108" t="s">
        <v>163</v>
      </c>
      <c r="D149" s="108" t="s">
        <v>124</v>
      </c>
      <c r="E149" s="109" t="s">
        <v>164</v>
      </c>
      <c r="F149" s="190" t="s">
        <v>165</v>
      </c>
      <c r="G149" s="191"/>
      <c r="H149" s="191"/>
      <c r="I149" s="191"/>
      <c r="J149" s="110" t="s">
        <v>161</v>
      </c>
      <c r="K149" s="111">
        <v>60</v>
      </c>
      <c r="L149" s="192"/>
      <c r="M149" s="191"/>
      <c r="N149" s="192">
        <f>ROUND($L$149*$K$149,2)</f>
        <v>0</v>
      </c>
      <c r="O149" s="191"/>
      <c r="P149" s="191"/>
      <c r="Q149" s="191"/>
      <c r="R149" s="20"/>
      <c r="T149" s="112"/>
      <c r="U149" s="26" t="s">
        <v>37</v>
      </c>
      <c r="V149" s="113">
        <v>0</v>
      </c>
      <c r="W149" s="113">
        <f>$V$149*$K$149</f>
        <v>0</v>
      </c>
      <c r="X149" s="113">
        <v>0</v>
      </c>
      <c r="Y149" s="113">
        <f>$X$149*$K$149</f>
        <v>0</v>
      </c>
      <c r="Z149" s="113">
        <v>0</v>
      </c>
      <c r="AA149" s="114">
        <f>$Z$149*$K$149</f>
        <v>0</v>
      </c>
      <c r="AR149" s="6" t="s">
        <v>128</v>
      </c>
      <c r="AT149" s="6" t="s">
        <v>124</v>
      </c>
      <c r="AU149" s="6" t="s">
        <v>82</v>
      </c>
      <c r="AY149" s="6" t="s">
        <v>122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17</v>
      </c>
      <c r="BK149" s="115">
        <f>ROUND($L$149*$K$149,2)</f>
        <v>0</v>
      </c>
      <c r="BL149" s="6" t="s">
        <v>128</v>
      </c>
      <c r="BM149" s="6" t="s">
        <v>166</v>
      </c>
    </row>
    <row r="150" spans="2:51" s="6" customFormat="1" ht="18.75" customHeight="1">
      <c r="B150" s="116"/>
      <c r="E150" s="117"/>
      <c r="F150" s="193" t="s">
        <v>167</v>
      </c>
      <c r="G150" s="194"/>
      <c r="H150" s="194"/>
      <c r="I150" s="194"/>
      <c r="K150" s="118">
        <v>60</v>
      </c>
      <c r="R150" s="119"/>
      <c r="T150" s="120"/>
      <c r="AA150" s="121"/>
      <c r="AT150" s="117" t="s">
        <v>131</v>
      </c>
      <c r="AU150" s="117" t="s">
        <v>82</v>
      </c>
      <c r="AV150" s="117" t="s">
        <v>82</v>
      </c>
      <c r="AW150" s="117" t="s">
        <v>89</v>
      </c>
      <c r="AX150" s="117" t="s">
        <v>17</v>
      </c>
      <c r="AY150" s="117" t="s">
        <v>122</v>
      </c>
    </row>
    <row r="151" spans="2:65" s="6" customFormat="1" ht="27" customHeight="1">
      <c r="B151" s="19"/>
      <c r="C151" s="108" t="s">
        <v>168</v>
      </c>
      <c r="D151" s="108" t="s">
        <v>124</v>
      </c>
      <c r="E151" s="109" t="s">
        <v>169</v>
      </c>
      <c r="F151" s="190" t="s">
        <v>170</v>
      </c>
      <c r="G151" s="191"/>
      <c r="H151" s="191"/>
      <c r="I151" s="191"/>
      <c r="J151" s="110" t="s">
        <v>161</v>
      </c>
      <c r="K151" s="111">
        <v>2</v>
      </c>
      <c r="L151" s="192"/>
      <c r="M151" s="191"/>
      <c r="N151" s="192">
        <f>ROUND($L$151*$K$151,2)</f>
        <v>0</v>
      </c>
      <c r="O151" s="191"/>
      <c r="P151" s="191"/>
      <c r="Q151" s="191"/>
      <c r="R151" s="20"/>
      <c r="T151" s="112"/>
      <c r="U151" s="26" t="s">
        <v>37</v>
      </c>
      <c r="V151" s="113">
        <v>2.03</v>
      </c>
      <c r="W151" s="113">
        <f>$V$151*$K$151</f>
        <v>4.06</v>
      </c>
      <c r="X151" s="113">
        <v>0</v>
      </c>
      <c r="Y151" s="113">
        <f>$X$151*$K$151</f>
        <v>0</v>
      </c>
      <c r="Z151" s="113">
        <v>0</v>
      </c>
      <c r="AA151" s="114">
        <f>$Z$151*$K$151</f>
        <v>0</v>
      </c>
      <c r="AR151" s="6" t="s">
        <v>128</v>
      </c>
      <c r="AT151" s="6" t="s">
        <v>124</v>
      </c>
      <c r="AU151" s="6" t="s">
        <v>82</v>
      </c>
      <c r="AY151" s="6" t="s">
        <v>122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17</v>
      </c>
      <c r="BK151" s="115">
        <f>ROUND($L$151*$K$151,2)</f>
        <v>0</v>
      </c>
      <c r="BL151" s="6" t="s">
        <v>128</v>
      </c>
      <c r="BM151" s="6" t="s">
        <v>171</v>
      </c>
    </row>
    <row r="152" spans="2:51" s="6" customFormat="1" ht="18.75" customHeight="1">
      <c r="B152" s="116"/>
      <c r="E152" s="117"/>
      <c r="F152" s="193" t="s">
        <v>82</v>
      </c>
      <c r="G152" s="194"/>
      <c r="H152" s="194"/>
      <c r="I152" s="194"/>
      <c r="K152" s="118">
        <v>2</v>
      </c>
      <c r="R152" s="119"/>
      <c r="T152" s="120"/>
      <c r="AA152" s="121"/>
      <c r="AT152" s="117" t="s">
        <v>131</v>
      </c>
      <c r="AU152" s="117" t="s">
        <v>82</v>
      </c>
      <c r="AV152" s="117" t="s">
        <v>82</v>
      </c>
      <c r="AW152" s="117" t="s">
        <v>89</v>
      </c>
      <c r="AX152" s="117" t="s">
        <v>17</v>
      </c>
      <c r="AY152" s="117" t="s">
        <v>122</v>
      </c>
    </row>
    <row r="153" spans="2:65" s="6" customFormat="1" ht="27" customHeight="1">
      <c r="B153" s="19"/>
      <c r="C153" s="108" t="s">
        <v>128</v>
      </c>
      <c r="D153" s="108" t="s">
        <v>124</v>
      </c>
      <c r="E153" s="109" t="s">
        <v>172</v>
      </c>
      <c r="F153" s="190" t="s">
        <v>173</v>
      </c>
      <c r="G153" s="191"/>
      <c r="H153" s="191"/>
      <c r="I153" s="191"/>
      <c r="J153" s="110" t="s">
        <v>174</v>
      </c>
      <c r="K153" s="111">
        <v>30.332</v>
      </c>
      <c r="L153" s="192"/>
      <c r="M153" s="191"/>
      <c r="N153" s="192">
        <f>ROUND($L$153*$K$153,2)</f>
        <v>0</v>
      </c>
      <c r="O153" s="191"/>
      <c r="P153" s="191"/>
      <c r="Q153" s="191"/>
      <c r="R153" s="20"/>
      <c r="T153" s="112"/>
      <c r="U153" s="26" t="s">
        <v>37</v>
      </c>
      <c r="V153" s="113">
        <v>3.048</v>
      </c>
      <c r="W153" s="113">
        <f>$V$153*$K$153</f>
        <v>92.451936</v>
      </c>
      <c r="X153" s="113">
        <v>0</v>
      </c>
      <c r="Y153" s="113">
        <f>$X$153*$K$153</f>
        <v>0</v>
      </c>
      <c r="Z153" s="113">
        <v>1.95</v>
      </c>
      <c r="AA153" s="114">
        <f>$Z$153*$K$153</f>
        <v>59.1474</v>
      </c>
      <c r="AR153" s="6" t="s">
        <v>128</v>
      </c>
      <c r="AT153" s="6" t="s">
        <v>124</v>
      </c>
      <c r="AU153" s="6" t="s">
        <v>82</v>
      </c>
      <c r="AY153" s="6" t="s">
        <v>122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17</v>
      </c>
      <c r="BK153" s="115">
        <f>ROUND($L$153*$K$153,2)</f>
        <v>0</v>
      </c>
      <c r="BL153" s="6" t="s">
        <v>128</v>
      </c>
      <c r="BM153" s="6" t="s">
        <v>175</v>
      </c>
    </row>
    <row r="154" spans="2:51" s="6" customFormat="1" ht="32.25" customHeight="1">
      <c r="B154" s="116"/>
      <c r="E154" s="117"/>
      <c r="F154" s="193" t="s">
        <v>176</v>
      </c>
      <c r="G154" s="194"/>
      <c r="H154" s="194"/>
      <c r="I154" s="194"/>
      <c r="K154" s="118">
        <v>30.332</v>
      </c>
      <c r="R154" s="119"/>
      <c r="T154" s="120"/>
      <c r="AA154" s="121"/>
      <c r="AT154" s="117" t="s">
        <v>131</v>
      </c>
      <c r="AU154" s="117" t="s">
        <v>82</v>
      </c>
      <c r="AV154" s="117" t="s">
        <v>82</v>
      </c>
      <c r="AW154" s="117" t="s">
        <v>89</v>
      </c>
      <c r="AX154" s="117" t="s">
        <v>17</v>
      </c>
      <c r="AY154" s="117" t="s">
        <v>122</v>
      </c>
    </row>
    <row r="155" spans="2:65" s="6" customFormat="1" ht="27" customHeight="1">
      <c r="B155" s="19"/>
      <c r="C155" s="108" t="s">
        <v>177</v>
      </c>
      <c r="D155" s="108" t="s">
        <v>124</v>
      </c>
      <c r="E155" s="109" t="s">
        <v>178</v>
      </c>
      <c r="F155" s="190" t="s">
        <v>179</v>
      </c>
      <c r="G155" s="191"/>
      <c r="H155" s="191"/>
      <c r="I155" s="191"/>
      <c r="J155" s="110" t="s">
        <v>174</v>
      </c>
      <c r="K155" s="111">
        <v>1.629</v>
      </c>
      <c r="L155" s="192"/>
      <c r="M155" s="191"/>
      <c r="N155" s="192">
        <f>ROUND($L$155*$K$155,2)</f>
        <v>0</v>
      </c>
      <c r="O155" s="191"/>
      <c r="P155" s="191"/>
      <c r="Q155" s="191"/>
      <c r="R155" s="20"/>
      <c r="T155" s="112"/>
      <c r="U155" s="26" t="s">
        <v>37</v>
      </c>
      <c r="V155" s="113">
        <v>9.504</v>
      </c>
      <c r="W155" s="113">
        <f>$V$155*$K$155</f>
        <v>15.482016</v>
      </c>
      <c r="X155" s="113">
        <v>0</v>
      </c>
      <c r="Y155" s="113">
        <f>$X$155*$K$155</f>
        <v>0</v>
      </c>
      <c r="Z155" s="113">
        <v>2.4</v>
      </c>
      <c r="AA155" s="114">
        <f>$Z$155*$K$155</f>
        <v>3.9095999999999997</v>
      </c>
      <c r="AR155" s="6" t="s">
        <v>128</v>
      </c>
      <c r="AT155" s="6" t="s">
        <v>124</v>
      </c>
      <c r="AU155" s="6" t="s">
        <v>82</v>
      </c>
      <c r="AY155" s="6" t="s">
        <v>122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17</v>
      </c>
      <c r="BK155" s="115">
        <f>ROUND($L$155*$K$155,2)</f>
        <v>0</v>
      </c>
      <c r="BL155" s="6" t="s">
        <v>128</v>
      </c>
      <c r="BM155" s="6" t="s">
        <v>180</v>
      </c>
    </row>
    <row r="156" spans="2:51" s="6" customFormat="1" ht="32.25" customHeight="1">
      <c r="B156" s="116"/>
      <c r="E156" s="117"/>
      <c r="F156" s="193" t="s">
        <v>181</v>
      </c>
      <c r="G156" s="194"/>
      <c r="H156" s="194"/>
      <c r="I156" s="194"/>
      <c r="K156" s="118">
        <v>1.629</v>
      </c>
      <c r="R156" s="119"/>
      <c r="T156" s="120"/>
      <c r="AA156" s="121"/>
      <c r="AT156" s="117" t="s">
        <v>131</v>
      </c>
      <c r="AU156" s="117" t="s">
        <v>82</v>
      </c>
      <c r="AV156" s="117" t="s">
        <v>82</v>
      </c>
      <c r="AW156" s="117" t="s">
        <v>89</v>
      </c>
      <c r="AX156" s="117" t="s">
        <v>17</v>
      </c>
      <c r="AY156" s="117" t="s">
        <v>122</v>
      </c>
    </row>
    <row r="157" spans="2:65" s="6" customFormat="1" ht="27" customHeight="1">
      <c r="B157" s="19"/>
      <c r="C157" s="108" t="s">
        <v>182</v>
      </c>
      <c r="D157" s="108" t="s">
        <v>124</v>
      </c>
      <c r="E157" s="109" t="s">
        <v>183</v>
      </c>
      <c r="F157" s="190" t="s">
        <v>184</v>
      </c>
      <c r="G157" s="191"/>
      <c r="H157" s="191"/>
      <c r="I157" s="191"/>
      <c r="J157" s="110" t="s">
        <v>127</v>
      </c>
      <c r="K157" s="111">
        <v>791.72</v>
      </c>
      <c r="L157" s="192"/>
      <c r="M157" s="191"/>
      <c r="N157" s="192">
        <f>ROUND($L$157*$K$157,2)</f>
        <v>0</v>
      </c>
      <c r="O157" s="191"/>
      <c r="P157" s="191"/>
      <c r="Q157" s="191"/>
      <c r="R157" s="20"/>
      <c r="T157" s="112"/>
      <c r="U157" s="26" t="s">
        <v>37</v>
      </c>
      <c r="V157" s="113">
        <v>0.382</v>
      </c>
      <c r="W157" s="113">
        <f>$V$157*$K$157</f>
        <v>302.43704</v>
      </c>
      <c r="X157" s="113">
        <v>0</v>
      </c>
      <c r="Y157" s="113">
        <f>$X$157*$K$157</f>
        <v>0</v>
      </c>
      <c r="Z157" s="113">
        <v>0.05</v>
      </c>
      <c r="AA157" s="114">
        <f>$Z$157*$K$157</f>
        <v>39.586000000000006</v>
      </c>
      <c r="AR157" s="6" t="s">
        <v>128</v>
      </c>
      <c r="AT157" s="6" t="s">
        <v>124</v>
      </c>
      <c r="AU157" s="6" t="s">
        <v>82</v>
      </c>
      <c r="AY157" s="6" t="s">
        <v>122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17</v>
      </c>
      <c r="BK157" s="115">
        <f>ROUND($L$157*$K$157,2)</f>
        <v>0</v>
      </c>
      <c r="BL157" s="6" t="s">
        <v>128</v>
      </c>
      <c r="BM157" s="6" t="s">
        <v>185</v>
      </c>
    </row>
    <row r="158" spans="2:51" s="6" customFormat="1" ht="18.75" customHeight="1">
      <c r="B158" s="132"/>
      <c r="E158" s="133"/>
      <c r="F158" s="200" t="s">
        <v>186</v>
      </c>
      <c r="G158" s="201"/>
      <c r="H158" s="201"/>
      <c r="I158" s="201"/>
      <c r="K158" s="133"/>
      <c r="R158" s="134"/>
      <c r="T158" s="135"/>
      <c r="AA158" s="136"/>
      <c r="AT158" s="133" t="s">
        <v>131</v>
      </c>
      <c r="AU158" s="133" t="s">
        <v>82</v>
      </c>
      <c r="AV158" s="133" t="s">
        <v>17</v>
      </c>
      <c r="AW158" s="133" t="s">
        <v>89</v>
      </c>
      <c r="AX158" s="133" t="s">
        <v>72</v>
      </c>
      <c r="AY158" s="133" t="s">
        <v>122</v>
      </c>
    </row>
    <row r="159" spans="2:51" s="6" customFormat="1" ht="18.75" customHeight="1">
      <c r="B159" s="116"/>
      <c r="E159" s="117"/>
      <c r="F159" s="193" t="s">
        <v>187</v>
      </c>
      <c r="G159" s="194"/>
      <c r="H159" s="194"/>
      <c r="I159" s="194"/>
      <c r="K159" s="118">
        <v>48.63</v>
      </c>
      <c r="R159" s="119"/>
      <c r="T159" s="120"/>
      <c r="AA159" s="121"/>
      <c r="AT159" s="117" t="s">
        <v>131</v>
      </c>
      <c r="AU159" s="117" t="s">
        <v>82</v>
      </c>
      <c r="AV159" s="117" t="s">
        <v>82</v>
      </c>
      <c r="AW159" s="117" t="s">
        <v>89</v>
      </c>
      <c r="AX159" s="117" t="s">
        <v>72</v>
      </c>
      <c r="AY159" s="117" t="s">
        <v>122</v>
      </c>
    </row>
    <row r="160" spans="2:51" s="6" customFormat="1" ht="18.75" customHeight="1">
      <c r="B160" s="116"/>
      <c r="E160" s="117"/>
      <c r="F160" s="193" t="s">
        <v>188</v>
      </c>
      <c r="G160" s="194"/>
      <c r="H160" s="194"/>
      <c r="I160" s="194"/>
      <c r="K160" s="118">
        <v>224.56</v>
      </c>
      <c r="R160" s="119"/>
      <c r="T160" s="120"/>
      <c r="AA160" s="121"/>
      <c r="AT160" s="117" t="s">
        <v>131</v>
      </c>
      <c r="AU160" s="117" t="s">
        <v>82</v>
      </c>
      <c r="AV160" s="117" t="s">
        <v>82</v>
      </c>
      <c r="AW160" s="117" t="s">
        <v>89</v>
      </c>
      <c r="AX160" s="117" t="s">
        <v>72</v>
      </c>
      <c r="AY160" s="117" t="s">
        <v>122</v>
      </c>
    </row>
    <row r="161" spans="2:51" s="6" customFormat="1" ht="18.75" customHeight="1">
      <c r="B161" s="116"/>
      <c r="E161" s="117"/>
      <c r="F161" s="193" t="s">
        <v>189</v>
      </c>
      <c r="G161" s="194"/>
      <c r="H161" s="194"/>
      <c r="I161" s="194"/>
      <c r="K161" s="118">
        <v>219.548</v>
      </c>
      <c r="R161" s="119"/>
      <c r="T161" s="120"/>
      <c r="AA161" s="121"/>
      <c r="AT161" s="117" t="s">
        <v>131</v>
      </c>
      <c r="AU161" s="117" t="s">
        <v>82</v>
      </c>
      <c r="AV161" s="117" t="s">
        <v>82</v>
      </c>
      <c r="AW161" s="117" t="s">
        <v>89</v>
      </c>
      <c r="AX161" s="117" t="s">
        <v>72</v>
      </c>
      <c r="AY161" s="117" t="s">
        <v>122</v>
      </c>
    </row>
    <row r="162" spans="2:51" s="6" customFormat="1" ht="18.75" customHeight="1">
      <c r="B162" s="116"/>
      <c r="E162" s="117"/>
      <c r="F162" s="193"/>
      <c r="G162" s="194"/>
      <c r="H162" s="194"/>
      <c r="I162" s="194"/>
      <c r="K162" s="118">
        <v>0</v>
      </c>
      <c r="R162" s="119"/>
      <c r="T162" s="120"/>
      <c r="AA162" s="121"/>
      <c r="AT162" s="117" t="s">
        <v>131</v>
      </c>
      <c r="AU162" s="117" t="s">
        <v>82</v>
      </c>
      <c r="AV162" s="117" t="s">
        <v>82</v>
      </c>
      <c r="AW162" s="117" t="s">
        <v>89</v>
      </c>
      <c r="AX162" s="117" t="s">
        <v>72</v>
      </c>
      <c r="AY162" s="117" t="s">
        <v>122</v>
      </c>
    </row>
    <row r="163" spans="2:51" s="6" customFormat="1" ht="18.75" customHeight="1">
      <c r="B163" s="132"/>
      <c r="E163" s="133"/>
      <c r="F163" s="200" t="s">
        <v>190</v>
      </c>
      <c r="G163" s="201"/>
      <c r="H163" s="201"/>
      <c r="I163" s="201"/>
      <c r="K163" s="133"/>
      <c r="R163" s="134"/>
      <c r="T163" s="135"/>
      <c r="AA163" s="136"/>
      <c r="AT163" s="133" t="s">
        <v>131</v>
      </c>
      <c r="AU163" s="133" t="s">
        <v>82</v>
      </c>
      <c r="AV163" s="133" t="s">
        <v>17</v>
      </c>
      <c r="AW163" s="133" t="s">
        <v>89</v>
      </c>
      <c r="AX163" s="133" t="s">
        <v>72</v>
      </c>
      <c r="AY163" s="133" t="s">
        <v>122</v>
      </c>
    </row>
    <row r="164" spans="2:51" s="6" customFormat="1" ht="18.75" customHeight="1">
      <c r="B164" s="116"/>
      <c r="E164" s="117"/>
      <c r="F164" s="193" t="s">
        <v>188</v>
      </c>
      <c r="G164" s="194"/>
      <c r="H164" s="194"/>
      <c r="I164" s="194"/>
      <c r="K164" s="118">
        <v>224.56</v>
      </c>
      <c r="R164" s="119"/>
      <c r="T164" s="120"/>
      <c r="AA164" s="121"/>
      <c r="AT164" s="117" t="s">
        <v>131</v>
      </c>
      <c r="AU164" s="117" t="s">
        <v>82</v>
      </c>
      <c r="AV164" s="117" t="s">
        <v>82</v>
      </c>
      <c r="AW164" s="117" t="s">
        <v>89</v>
      </c>
      <c r="AX164" s="117" t="s">
        <v>72</v>
      </c>
      <c r="AY164" s="117" t="s">
        <v>122</v>
      </c>
    </row>
    <row r="165" spans="2:51" s="6" customFormat="1" ht="18.75" customHeight="1">
      <c r="B165" s="116"/>
      <c r="E165" s="117"/>
      <c r="F165" s="193" t="s">
        <v>191</v>
      </c>
      <c r="G165" s="194"/>
      <c r="H165" s="194"/>
      <c r="I165" s="194"/>
      <c r="K165" s="118">
        <v>31.196</v>
      </c>
      <c r="R165" s="119"/>
      <c r="T165" s="120"/>
      <c r="AA165" s="121"/>
      <c r="AT165" s="117" t="s">
        <v>131</v>
      </c>
      <c r="AU165" s="117" t="s">
        <v>82</v>
      </c>
      <c r="AV165" s="117" t="s">
        <v>82</v>
      </c>
      <c r="AW165" s="117" t="s">
        <v>89</v>
      </c>
      <c r="AX165" s="117" t="s">
        <v>72</v>
      </c>
      <c r="AY165" s="117" t="s">
        <v>122</v>
      </c>
    </row>
    <row r="166" spans="2:51" s="6" customFormat="1" ht="18.75" customHeight="1">
      <c r="B166" s="116"/>
      <c r="E166" s="117"/>
      <c r="F166" s="193" t="s">
        <v>192</v>
      </c>
      <c r="G166" s="194"/>
      <c r="H166" s="194"/>
      <c r="I166" s="194"/>
      <c r="K166" s="118">
        <v>43.226</v>
      </c>
      <c r="R166" s="119"/>
      <c r="T166" s="120"/>
      <c r="AA166" s="121"/>
      <c r="AT166" s="117" t="s">
        <v>131</v>
      </c>
      <c r="AU166" s="117" t="s">
        <v>82</v>
      </c>
      <c r="AV166" s="117" t="s">
        <v>82</v>
      </c>
      <c r="AW166" s="117" t="s">
        <v>89</v>
      </c>
      <c r="AX166" s="117" t="s">
        <v>72</v>
      </c>
      <c r="AY166" s="117" t="s">
        <v>122</v>
      </c>
    </row>
    <row r="167" spans="2:51" s="6" customFormat="1" ht="18.75" customHeight="1">
      <c r="B167" s="122"/>
      <c r="E167" s="123"/>
      <c r="F167" s="195" t="s">
        <v>137</v>
      </c>
      <c r="G167" s="196"/>
      <c r="H167" s="196"/>
      <c r="I167" s="196"/>
      <c r="K167" s="124">
        <v>791.72</v>
      </c>
      <c r="R167" s="125"/>
      <c r="T167" s="126"/>
      <c r="AA167" s="127"/>
      <c r="AT167" s="123" t="s">
        <v>131</v>
      </c>
      <c r="AU167" s="123" t="s">
        <v>82</v>
      </c>
      <c r="AV167" s="123" t="s">
        <v>128</v>
      </c>
      <c r="AW167" s="123" t="s">
        <v>89</v>
      </c>
      <c r="AX167" s="123" t="s">
        <v>17</v>
      </c>
      <c r="AY167" s="123" t="s">
        <v>122</v>
      </c>
    </row>
    <row r="168" spans="2:65" s="6" customFormat="1" ht="27" customHeight="1">
      <c r="B168" s="19"/>
      <c r="C168" s="108" t="s">
        <v>193</v>
      </c>
      <c r="D168" s="108" t="s">
        <v>124</v>
      </c>
      <c r="E168" s="109" t="s">
        <v>194</v>
      </c>
      <c r="F168" s="190" t="s">
        <v>195</v>
      </c>
      <c r="G168" s="191"/>
      <c r="H168" s="191"/>
      <c r="I168" s="191"/>
      <c r="J168" s="110" t="s">
        <v>196</v>
      </c>
      <c r="K168" s="111">
        <v>10</v>
      </c>
      <c r="L168" s="192"/>
      <c r="M168" s="191"/>
      <c r="N168" s="192">
        <f>ROUND($L$168*$K$168,2)</f>
        <v>0</v>
      </c>
      <c r="O168" s="191"/>
      <c r="P168" s="191"/>
      <c r="Q168" s="191"/>
      <c r="R168" s="20"/>
      <c r="T168" s="112"/>
      <c r="U168" s="26" t="s">
        <v>37</v>
      </c>
      <c r="V168" s="113">
        <v>0.192</v>
      </c>
      <c r="W168" s="113">
        <f>$V$168*$K$168</f>
        <v>1.92</v>
      </c>
      <c r="X168" s="113">
        <v>0</v>
      </c>
      <c r="Y168" s="113">
        <f>$X$168*$K$168</f>
        <v>0</v>
      </c>
      <c r="Z168" s="113">
        <v>0</v>
      </c>
      <c r="AA168" s="114">
        <f>$Z$168*$K$168</f>
        <v>0</v>
      </c>
      <c r="AR168" s="6" t="s">
        <v>128</v>
      </c>
      <c r="AT168" s="6" t="s">
        <v>124</v>
      </c>
      <c r="AU168" s="6" t="s">
        <v>82</v>
      </c>
      <c r="AY168" s="6" t="s">
        <v>122</v>
      </c>
      <c r="BE168" s="115">
        <f>IF($U$168="základní",$N$168,0)</f>
        <v>0</v>
      </c>
      <c r="BF168" s="115">
        <f>IF($U$168="snížená",$N$168,0)</f>
        <v>0</v>
      </c>
      <c r="BG168" s="115">
        <f>IF($U$168="zákl. přenesená",$N$168,0)</f>
        <v>0</v>
      </c>
      <c r="BH168" s="115">
        <f>IF($U$168="sníž. přenesená",$N$168,0)</f>
        <v>0</v>
      </c>
      <c r="BI168" s="115">
        <f>IF($U$168="nulová",$N$168,0)</f>
        <v>0</v>
      </c>
      <c r="BJ168" s="6" t="s">
        <v>17</v>
      </c>
      <c r="BK168" s="115">
        <f>ROUND($L$168*$K$168,2)</f>
        <v>0</v>
      </c>
      <c r="BL168" s="6" t="s">
        <v>128</v>
      </c>
      <c r="BM168" s="6" t="s">
        <v>197</v>
      </c>
    </row>
    <row r="169" spans="2:51" s="6" customFormat="1" ht="18.75" customHeight="1">
      <c r="B169" s="116"/>
      <c r="E169" s="117"/>
      <c r="F169" s="193" t="s">
        <v>198</v>
      </c>
      <c r="G169" s="194"/>
      <c r="H169" s="194"/>
      <c r="I169" s="194"/>
      <c r="K169" s="118">
        <v>10</v>
      </c>
      <c r="R169" s="119"/>
      <c r="T169" s="120"/>
      <c r="AA169" s="121"/>
      <c r="AT169" s="117" t="s">
        <v>131</v>
      </c>
      <c r="AU169" s="117" t="s">
        <v>82</v>
      </c>
      <c r="AV169" s="117" t="s">
        <v>82</v>
      </c>
      <c r="AW169" s="117" t="s">
        <v>89</v>
      </c>
      <c r="AX169" s="117" t="s">
        <v>17</v>
      </c>
      <c r="AY169" s="117" t="s">
        <v>122</v>
      </c>
    </row>
    <row r="170" spans="2:65" s="6" customFormat="1" ht="39" customHeight="1">
      <c r="B170" s="19"/>
      <c r="C170" s="108" t="s">
        <v>199</v>
      </c>
      <c r="D170" s="108" t="s">
        <v>124</v>
      </c>
      <c r="E170" s="109" t="s">
        <v>200</v>
      </c>
      <c r="F170" s="190" t="s">
        <v>201</v>
      </c>
      <c r="G170" s="191"/>
      <c r="H170" s="191"/>
      <c r="I170" s="191"/>
      <c r="J170" s="110" t="s">
        <v>196</v>
      </c>
      <c r="K170" s="111">
        <v>16.5</v>
      </c>
      <c r="L170" s="192"/>
      <c r="M170" s="191"/>
      <c r="N170" s="192">
        <f>ROUND($L$170*$K$170,2)</f>
        <v>0</v>
      </c>
      <c r="O170" s="191"/>
      <c r="P170" s="191"/>
      <c r="Q170" s="191"/>
      <c r="R170" s="20"/>
      <c r="T170" s="112"/>
      <c r="U170" s="26" t="s">
        <v>37</v>
      </c>
      <c r="V170" s="113">
        <v>2.432</v>
      </c>
      <c r="W170" s="113">
        <f>$V$170*$K$170</f>
        <v>40.128</v>
      </c>
      <c r="X170" s="113">
        <v>0.00029</v>
      </c>
      <c r="Y170" s="113">
        <f>$X$170*$K$170</f>
        <v>0.004785</v>
      </c>
      <c r="Z170" s="113">
        <v>0</v>
      </c>
      <c r="AA170" s="114">
        <f>$Z$170*$K$170</f>
        <v>0</v>
      </c>
      <c r="AR170" s="6" t="s">
        <v>128</v>
      </c>
      <c r="AT170" s="6" t="s">
        <v>124</v>
      </c>
      <c r="AU170" s="6" t="s">
        <v>82</v>
      </c>
      <c r="AY170" s="6" t="s">
        <v>122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17</v>
      </c>
      <c r="BK170" s="115">
        <f>ROUND($L$170*$K$170,2)</f>
        <v>0</v>
      </c>
      <c r="BL170" s="6" t="s">
        <v>128</v>
      </c>
      <c r="BM170" s="6" t="s">
        <v>202</v>
      </c>
    </row>
    <row r="171" spans="2:51" s="6" customFormat="1" ht="18.75" customHeight="1">
      <c r="B171" s="132"/>
      <c r="E171" s="133"/>
      <c r="F171" s="200" t="s">
        <v>203</v>
      </c>
      <c r="G171" s="201"/>
      <c r="H171" s="201"/>
      <c r="I171" s="201"/>
      <c r="K171" s="133"/>
      <c r="R171" s="134"/>
      <c r="T171" s="135"/>
      <c r="AA171" s="136"/>
      <c r="AT171" s="133" t="s">
        <v>131</v>
      </c>
      <c r="AU171" s="133" t="s">
        <v>82</v>
      </c>
      <c r="AV171" s="133" t="s">
        <v>17</v>
      </c>
      <c r="AW171" s="133" t="s">
        <v>89</v>
      </c>
      <c r="AX171" s="133" t="s">
        <v>72</v>
      </c>
      <c r="AY171" s="133" t="s">
        <v>122</v>
      </c>
    </row>
    <row r="172" spans="2:51" s="6" customFormat="1" ht="18.75" customHeight="1">
      <c r="B172" s="116"/>
      <c r="E172" s="117"/>
      <c r="F172" s="193" t="s">
        <v>204</v>
      </c>
      <c r="G172" s="194"/>
      <c r="H172" s="194"/>
      <c r="I172" s="194"/>
      <c r="K172" s="118">
        <v>16.5</v>
      </c>
      <c r="R172" s="119"/>
      <c r="T172" s="120"/>
      <c r="AA172" s="121"/>
      <c r="AT172" s="117" t="s">
        <v>131</v>
      </c>
      <c r="AU172" s="117" t="s">
        <v>82</v>
      </c>
      <c r="AV172" s="117" t="s">
        <v>82</v>
      </c>
      <c r="AW172" s="117" t="s">
        <v>89</v>
      </c>
      <c r="AX172" s="117" t="s">
        <v>17</v>
      </c>
      <c r="AY172" s="117" t="s">
        <v>122</v>
      </c>
    </row>
    <row r="173" spans="2:65" s="6" customFormat="1" ht="39" customHeight="1">
      <c r="B173" s="19"/>
      <c r="C173" s="108" t="s">
        <v>205</v>
      </c>
      <c r="D173" s="108" t="s">
        <v>124</v>
      </c>
      <c r="E173" s="109" t="s">
        <v>206</v>
      </c>
      <c r="F173" s="190" t="s">
        <v>207</v>
      </c>
      <c r="G173" s="191"/>
      <c r="H173" s="191"/>
      <c r="I173" s="191"/>
      <c r="J173" s="110" t="s">
        <v>196</v>
      </c>
      <c r="K173" s="111">
        <v>10</v>
      </c>
      <c r="L173" s="192"/>
      <c r="M173" s="191"/>
      <c r="N173" s="192">
        <f>ROUND($L$173*$K$173,2)</f>
        <v>0</v>
      </c>
      <c r="O173" s="191"/>
      <c r="P173" s="191"/>
      <c r="Q173" s="191"/>
      <c r="R173" s="20"/>
      <c r="T173" s="112"/>
      <c r="U173" s="26" t="s">
        <v>37</v>
      </c>
      <c r="V173" s="113">
        <v>1.66</v>
      </c>
      <c r="W173" s="113">
        <f>$V$173*$K$173</f>
        <v>16.599999999999998</v>
      </c>
      <c r="X173" s="113">
        <v>0.00303</v>
      </c>
      <c r="Y173" s="113">
        <f>$X$173*$K$173</f>
        <v>0.0303</v>
      </c>
      <c r="Z173" s="113">
        <v>0</v>
      </c>
      <c r="AA173" s="114">
        <f>$Z$173*$K$173</f>
        <v>0</v>
      </c>
      <c r="AR173" s="6" t="s">
        <v>128</v>
      </c>
      <c r="AT173" s="6" t="s">
        <v>124</v>
      </c>
      <c r="AU173" s="6" t="s">
        <v>82</v>
      </c>
      <c r="AY173" s="6" t="s">
        <v>122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17</v>
      </c>
      <c r="BK173" s="115">
        <f>ROUND($L$173*$K$173,2)</f>
        <v>0</v>
      </c>
      <c r="BL173" s="6" t="s">
        <v>128</v>
      </c>
      <c r="BM173" s="6" t="s">
        <v>208</v>
      </c>
    </row>
    <row r="174" spans="2:51" s="6" customFormat="1" ht="18.75" customHeight="1">
      <c r="B174" s="116"/>
      <c r="E174" s="117"/>
      <c r="F174" s="193" t="s">
        <v>198</v>
      </c>
      <c r="G174" s="194"/>
      <c r="H174" s="194"/>
      <c r="I174" s="194"/>
      <c r="K174" s="118">
        <v>10</v>
      </c>
      <c r="R174" s="119"/>
      <c r="T174" s="120"/>
      <c r="AA174" s="121"/>
      <c r="AT174" s="117" t="s">
        <v>131</v>
      </c>
      <c r="AU174" s="117" t="s">
        <v>82</v>
      </c>
      <c r="AV174" s="117" t="s">
        <v>82</v>
      </c>
      <c r="AW174" s="117" t="s">
        <v>89</v>
      </c>
      <c r="AX174" s="117" t="s">
        <v>17</v>
      </c>
      <c r="AY174" s="117" t="s">
        <v>122</v>
      </c>
    </row>
    <row r="175" spans="2:63" s="98" customFormat="1" ht="30.75" customHeight="1">
      <c r="B175" s="99"/>
      <c r="D175" s="107" t="s">
        <v>95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202">
        <f>$BK$175</f>
        <v>0</v>
      </c>
      <c r="O175" s="203"/>
      <c r="P175" s="203"/>
      <c r="Q175" s="203"/>
      <c r="R175" s="102"/>
      <c r="T175" s="103"/>
      <c r="W175" s="104">
        <f>SUM($W$176:$W$198)</f>
        <v>646.393335</v>
      </c>
      <c r="Y175" s="104">
        <f>SUM($Y$176:$Y$198)</f>
        <v>0</v>
      </c>
      <c r="AA175" s="105">
        <f>SUM($AA$176:$AA$198)</f>
        <v>0</v>
      </c>
      <c r="AR175" s="101" t="s">
        <v>17</v>
      </c>
      <c r="AT175" s="101" t="s">
        <v>71</v>
      </c>
      <c r="AU175" s="101" t="s">
        <v>17</v>
      </c>
      <c r="AY175" s="101" t="s">
        <v>122</v>
      </c>
      <c r="BK175" s="106">
        <f>SUM($BK$176:$BK$198)</f>
        <v>0</v>
      </c>
    </row>
    <row r="176" spans="2:65" s="6" customFormat="1" ht="27" customHeight="1">
      <c r="B176" s="19"/>
      <c r="C176" s="108" t="s">
        <v>209</v>
      </c>
      <c r="D176" s="108" t="s">
        <v>124</v>
      </c>
      <c r="E176" s="109" t="s">
        <v>210</v>
      </c>
      <c r="F176" s="190" t="s">
        <v>211</v>
      </c>
      <c r="G176" s="191"/>
      <c r="H176" s="191"/>
      <c r="I176" s="191"/>
      <c r="J176" s="110" t="s">
        <v>212</v>
      </c>
      <c r="K176" s="111">
        <v>124.187</v>
      </c>
      <c r="L176" s="192"/>
      <c r="M176" s="191"/>
      <c r="N176" s="192">
        <f>ROUND($L$176*$K$176,2)</f>
        <v>0</v>
      </c>
      <c r="O176" s="191"/>
      <c r="P176" s="191"/>
      <c r="Q176" s="191"/>
      <c r="R176" s="20"/>
      <c r="T176" s="112"/>
      <c r="U176" s="26" t="s">
        <v>37</v>
      </c>
      <c r="V176" s="113">
        <v>2.42</v>
      </c>
      <c r="W176" s="113">
        <f>$V$176*$K$176</f>
        <v>300.53254</v>
      </c>
      <c r="X176" s="113">
        <v>0</v>
      </c>
      <c r="Y176" s="113">
        <f>$X$176*$K$176</f>
        <v>0</v>
      </c>
      <c r="Z176" s="113">
        <v>0</v>
      </c>
      <c r="AA176" s="114">
        <f>$Z$176*$K$176</f>
        <v>0</v>
      </c>
      <c r="AR176" s="6" t="s">
        <v>128</v>
      </c>
      <c r="AT176" s="6" t="s">
        <v>124</v>
      </c>
      <c r="AU176" s="6" t="s">
        <v>82</v>
      </c>
      <c r="AY176" s="6" t="s">
        <v>122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17</v>
      </c>
      <c r="BK176" s="115">
        <f>ROUND($L$176*$K$176,2)</f>
        <v>0</v>
      </c>
      <c r="BL176" s="6" t="s">
        <v>128</v>
      </c>
      <c r="BM176" s="6" t="s">
        <v>213</v>
      </c>
    </row>
    <row r="177" spans="2:51" s="6" customFormat="1" ht="18.75" customHeight="1">
      <c r="B177" s="116"/>
      <c r="E177" s="117"/>
      <c r="F177" s="193" t="s">
        <v>214</v>
      </c>
      <c r="G177" s="194"/>
      <c r="H177" s="194"/>
      <c r="I177" s="194"/>
      <c r="K177" s="118">
        <v>57.631</v>
      </c>
      <c r="R177" s="119"/>
      <c r="T177" s="120"/>
      <c r="AA177" s="121"/>
      <c r="AT177" s="117" t="s">
        <v>131</v>
      </c>
      <c r="AU177" s="117" t="s">
        <v>82</v>
      </c>
      <c r="AV177" s="117" t="s">
        <v>82</v>
      </c>
      <c r="AW177" s="117" t="s">
        <v>89</v>
      </c>
      <c r="AX177" s="117" t="s">
        <v>72</v>
      </c>
      <c r="AY177" s="117" t="s">
        <v>122</v>
      </c>
    </row>
    <row r="178" spans="2:51" s="6" customFormat="1" ht="18.75" customHeight="1">
      <c r="B178" s="116"/>
      <c r="E178" s="117"/>
      <c r="F178" s="193" t="s">
        <v>215</v>
      </c>
      <c r="G178" s="194"/>
      <c r="H178" s="194"/>
      <c r="I178" s="194"/>
      <c r="K178" s="118">
        <v>4.48</v>
      </c>
      <c r="R178" s="119"/>
      <c r="T178" s="120"/>
      <c r="AA178" s="121"/>
      <c r="AT178" s="117" t="s">
        <v>131</v>
      </c>
      <c r="AU178" s="117" t="s">
        <v>82</v>
      </c>
      <c r="AV178" s="117" t="s">
        <v>82</v>
      </c>
      <c r="AW178" s="117" t="s">
        <v>89</v>
      </c>
      <c r="AX178" s="117" t="s">
        <v>72</v>
      </c>
      <c r="AY178" s="117" t="s">
        <v>122</v>
      </c>
    </row>
    <row r="179" spans="2:51" s="6" customFormat="1" ht="18.75" customHeight="1">
      <c r="B179" s="116"/>
      <c r="E179" s="117"/>
      <c r="F179" s="193" t="s">
        <v>216</v>
      </c>
      <c r="G179" s="194"/>
      <c r="H179" s="194"/>
      <c r="I179" s="194"/>
      <c r="K179" s="118">
        <v>0.114</v>
      </c>
      <c r="R179" s="119"/>
      <c r="T179" s="120"/>
      <c r="AA179" s="121"/>
      <c r="AT179" s="117" t="s">
        <v>131</v>
      </c>
      <c r="AU179" s="117" t="s">
        <v>82</v>
      </c>
      <c r="AV179" s="117" t="s">
        <v>82</v>
      </c>
      <c r="AW179" s="117" t="s">
        <v>89</v>
      </c>
      <c r="AX179" s="117" t="s">
        <v>72</v>
      </c>
      <c r="AY179" s="117" t="s">
        <v>122</v>
      </c>
    </row>
    <row r="180" spans="2:51" s="6" customFormat="1" ht="18.75" customHeight="1">
      <c r="B180" s="116"/>
      <c r="E180" s="117"/>
      <c r="F180" s="193" t="s">
        <v>217</v>
      </c>
      <c r="G180" s="194"/>
      <c r="H180" s="194"/>
      <c r="I180" s="194"/>
      <c r="K180" s="118">
        <v>1</v>
      </c>
      <c r="R180" s="119"/>
      <c r="T180" s="120"/>
      <c r="AA180" s="121"/>
      <c r="AT180" s="117" t="s">
        <v>131</v>
      </c>
      <c r="AU180" s="117" t="s">
        <v>82</v>
      </c>
      <c r="AV180" s="117" t="s">
        <v>82</v>
      </c>
      <c r="AW180" s="117" t="s">
        <v>89</v>
      </c>
      <c r="AX180" s="117" t="s">
        <v>72</v>
      </c>
      <c r="AY180" s="117" t="s">
        <v>122</v>
      </c>
    </row>
    <row r="181" spans="2:51" s="6" customFormat="1" ht="18.75" customHeight="1">
      <c r="B181" s="116"/>
      <c r="E181" s="117"/>
      <c r="F181" s="193" t="s">
        <v>218</v>
      </c>
      <c r="G181" s="194"/>
      <c r="H181" s="194"/>
      <c r="I181" s="194"/>
      <c r="K181" s="118">
        <v>60.962</v>
      </c>
      <c r="R181" s="119"/>
      <c r="T181" s="120"/>
      <c r="AA181" s="121"/>
      <c r="AT181" s="117" t="s">
        <v>131</v>
      </c>
      <c r="AU181" s="117" t="s">
        <v>82</v>
      </c>
      <c r="AV181" s="117" t="s">
        <v>82</v>
      </c>
      <c r="AW181" s="117" t="s">
        <v>89</v>
      </c>
      <c r="AX181" s="117" t="s">
        <v>72</v>
      </c>
      <c r="AY181" s="117" t="s">
        <v>122</v>
      </c>
    </row>
    <row r="182" spans="2:51" s="6" customFormat="1" ht="18.75" customHeight="1">
      <c r="B182" s="122"/>
      <c r="E182" s="123"/>
      <c r="F182" s="195" t="s">
        <v>137</v>
      </c>
      <c r="G182" s="196"/>
      <c r="H182" s="196"/>
      <c r="I182" s="196"/>
      <c r="K182" s="124">
        <v>124.187</v>
      </c>
      <c r="R182" s="125"/>
      <c r="T182" s="126"/>
      <c r="AA182" s="127"/>
      <c r="AT182" s="123" t="s">
        <v>131</v>
      </c>
      <c r="AU182" s="123" t="s">
        <v>82</v>
      </c>
      <c r="AV182" s="123" t="s">
        <v>128</v>
      </c>
      <c r="AW182" s="123" t="s">
        <v>89</v>
      </c>
      <c r="AX182" s="123" t="s">
        <v>17</v>
      </c>
      <c r="AY182" s="123" t="s">
        <v>122</v>
      </c>
    </row>
    <row r="183" spans="2:65" s="6" customFormat="1" ht="39" customHeight="1">
      <c r="B183" s="19"/>
      <c r="C183" s="108" t="s">
        <v>219</v>
      </c>
      <c r="D183" s="108" t="s">
        <v>124</v>
      </c>
      <c r="E183" s="109" t="s">
        <v>220</v>
      </c>
      <c r="F183" s="190" t="s">
        <v>221</v>
      </c>
      <c r="G183" s="191"/>
      <c r="H183" s="191"/>
      <c r="I183" s="191"/>
      <c r="J183" s="110" t="s">
        <v>212</v>
      </c>
      <c r="K183" s="111">
        <v>1241.87</v>
      </c>
      <c r="L183" s="192"/>
      <c r="M183" s="191"/>
      <c r="N183" s="192">
        <f>ROUND($L$183*$K$183,2)</f>
        <v>0</v>
      </c>
      <c r="O183" s="191"/>
      <c r="P183" s="191"/>
      <c r="Q183" s="191"/>
      <c r="R183" s="20"/>
      <c r="T183" s="112"/>
      <c r="U183" s="26" t="s">
        <v>37</v>
      </c>
      <c r="V183" s="113">
        <v>0.26</v>
      </c>
      <c r="W183" s="113">
        <f>$V$183*$K$183</f>
        <v>322.8862</v>
      </c>
      <c r="X183" s="113">
        <v>0</v>
      </c>
      <c r="Y183" s="113">
        <f>$X$183*$K$183</f>
        <v>0</v>
      </c>
      <c r="Z183" s="113">
        <v>0</v>
      </c>
      <c r="AA183" s="114">
        <f>$Z$183*$K$183</f>
        <v>0</v>
      </c>
      <c r="AR183" s="6" t="s">
        <v>128</v>
      </c>
      <c r="AT183" s="6" t="s">
        <v>124</v>
      </c>
      <c r="AU183" s="6" t="s">
        <v>82</v>
      </c>
      <c r="AY183" s="6" t="s">
        <v>122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6" t="s">
        <v>17</v>
      </c>
      <c r="BK183" s="115">
        <f>ROUND($L$183*$K$183,2)</f>
        <v>0</v>
      </c>
      <c r="BL183" s="6" t="s">
        <v>128</v>
      </c>
      <c r="BM183" s="6" t="s">
        <v>222</v>
      </c>
    </row>
    <row r="184" spans="2:51" s="6" customFormat="1" ht="18.75" customHeight="1">
      <c r="B184" s="116"/>
      <c r="E184" s="117"/>
      <c r="F184" s="193" t="s">
        <v>223</v>
      </c>
      <c r="G184" s="194"/>
      <c r="H184" s="194"/>
      <c r="I184" s="194"/>
      <c r="K184" s="118">
        <v>1241.87</v>
      </c>
      <c r="R184" s="119"/>
      <c r="T184" s="120"/>
      <c r="AA184" s="121"/>
      <c r="AT184" s="117" t="s">
        <v>131</v>
      </c>
      <c r="AU184" s="117" t="s">
        <v>82</v>
      </c>
      <c r="AV184" s="117" t="s">
        <v>82</v>
      </c>
      <c r="AW184" s="117" t="s">
        <v>89</v>
      </c>
      <c r="AX184" s="117" t="s">
        <v>17</v>
      </c>
      <c r="AY184" s="117" t="s">
        <v>122</v>
      </c>
    </row>
    <row r="185" spans="2:65" s="6" customFormat="1" ht="27" customHeight="1">
      <c r="B185" s="19"/>
      <c r="C185" s="108" t="s">
        <v>142</v>
      </c>
      <c r="D185" s="108" t="s">
        <v>124</v>
      </c>
      <c r="E185" s="109" t="s">
        <v>224</v>
      </c>
      <c r="F185" s="190" t="s">
        <v>225</v>
      </c>
      <c r="G185" s="191"/>
      <c r="H185" s="191"/>
      <c r="I185" s="191"/>
      <c r="J185" s="110" t="s">
        <v>212</v>
      </c>
      <c r="K185" s="111">
        <v>124.187</v>
      </c>
      <c r="L185" s="192"/>
      <c r="M185" s="191"/>
      <c r="N185" s="192">
        <f>ROUND($L$185*$K$185,2)</f>
        <v>0</v>
      </c>
      <c r="O185" s="191"/>
      <c r="P185" s="191"/>
      <c r="Q185" s="191"/>
      <c r="R185" s="20"/>
      <c r="T185" s="112"/>
      <c r="U185" s="26" t="s">
        <v>37</v>
      </c>
      <c r="V185" s="113">
        <v>0.125</v>
      </c>
      <c r="W185" s="113">
        <f>$V$185*$K$185</f>
        <v>15.523375</v>
      </c>
      <c r="X185" s="113">
        <v>0</v>
      </c>
      <c r="Y185" s="113">
        <f>$X$185*$K$185</f>
        <v>0</v>
      </c>
      <c r="Z185" s="113">
        <v>0</v>
      </c>
      <c r="AA185" s="114">
        <f>$Z$185*$K$185</f>
        <v>0</v>
      </c>
      <c r="AR185" s="6" t="s">
        <v>128</v>
      </c>
      <c r="AT185" s="6" t="s">
        <v>124</v>
      </c>
      <c r="AU185" s="6" t="s">
        <v>82</v>
      </c>
      <c r="AY185" s="6" t="s">
        <v>122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17</v>
      </c>
      <c r="BK185" s="115">
        <f>ROUND($L$185*$K$185,2)</f>
        <v>0</v>
      </c>
      <c r="BL185" s="6" t="s">
        <v>128</v>
      </c>
      <c r="BM185" s="6" t="s">
        <v>226</v>
      </c>
    </row>
    <row r="186" spans="2:51" s="6" customFormat="1" ht="18.75" customHeight="1">
      <c r="B186" s="116"/>
      <c r="E186" s="117"/>
      <c r="F186" s="193" t="s">
        <v>227</v>
      </c>
      <c r="G186" s="194"/>
      <c r="H186" s="194"/>
      <c r="I186" s="194"/>
      <c r="K186" s="118">
        <v>124.187</v>
      </c>
      <c r="R186" s="119"/>
      <c r="T186" s="120"/>
      <c r="AA186" s="121"/>
      <c r="AT186" s="117" t="s">
        <v>131</v>
      </c>
      <c r="AU186" s="117" t="s">
        <v>82</v>
      </c>
      <c r="AV186" s="117" t="s">
        <v>82</v>
      </c>
      <c r="AW186" s="117" t="s">
        <v>89</v>
      </c>
      <c r="AX186" s="117" t="s">
        <v>17</v>
      </c>
      <c r="AY186" s="117" t="s">
        <v>122</v>
      </c>
    </row>
    <row r="187" spans="2:65" s="6" customFormat="1" ht="27" customHeight="1">
      <c r="B187" s="19"/>
      <c r="C187" s="108" t="s">
        <v>228</v>
      </c>
      <c r="D187" s="108" t="s">
        <v>124</v>
      </c>
      <c r="E187" s="109" t="s">
        <v>229</v>
      </c>
      <c r="F187" s="190" t="s">
        <v>230</v>
      </c>
      <c r="G187" s="191"/>
      <c r="H187" s="191"/>
      <c r="I187" s="191"/>
      <c r="J187" s="110" t="s">
        <v>212</v>
      </c>
      <c r="K187" s="111">
        <v>1241.87</v>
      </c>
      <c r="L187" s="192"/>
      <c r="M187" s="191"/>
      <c r="N187" s="192">
        <f>ROUND($L$187*$K$187,2)</f>
        <v>0</v>
      </c>
      <c r="O187" s="191"/>
      <c r="P187" s="191"/>
      <c r="Q187" s="191"/>
      <c r="R187" s="20"/>
      <c r="T187" s="112"/>
      <c r="U187" s="26" t="s">
        <v>37</v>
      </c>
      <c r="V187" s="113">
        <v>0.006</v>
      </c>
      <c r="W187" s="113">
        <f>$V$187*$K$187</f>
        <v>7.451219999999999</v>
      </c>
      <c r="X187" s="113">
        <v>0</v>
      </c>
      <c r="Y187" s="113">
        <f>$X$187*$K$187</f>
        <v>0</v>
      </c>
      <c r="Z187" s="113">
        <v>0</v>
      </c>
      <c r="AA187" s="114">
        <f>$Z$187*$K$187</f>
        <v>0</v>
      </c>
      <c r="AR187" s="6" t="s">
        <v>128</v>
      </c>
      <c r="AT187" s="6" t="s">
        <v>124</v>
      </c>
      <c r="AU187" s="6" t="s">
        <v>82</v>
      </c>
      <c r="AY187" s="6" t="s">
        <v>122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17</v>
      </c>
      <c r="BK187" s="115">
        <f>ROUND($L$187*$K$187,2)</f>
        <v>0</v>
      </c>
      <c r="BL187" s="6" t="s">
        <v>128</v>
      </c>
      <c r="BM187" s="6" t="s">
        <v>231</v>
      </c>
    </row>
    <row r="188" spans="2:51" s="6" customFormat="1" ht="18.75" customHeight="1">
      <c r="B188" s="116"/>
      <c r="E188" s="117"/>
      <c r="F188" s="193" t="s">
        <v>223</v>
      </c>
      <c r="G188" s="194"/>
      <c r="H188" s="194"/>
      <c r="I188" s="194"/>
      <c r="K188" s="118">
        <v>1241.87</v>
      </c>
      <c r="R188" s="119"/>
      <c r="T188" s="120"/>
      <c r="AA188" s="121"/>
      <c r="AT188" s="117" t="s">
        <v>131</v>
      </c>
      <c r="AU188" s="117" t="s">
        <v>82</v>
      </c>
      <c r="AV188" s="117" t="s">
        <v>82</v>
      </c>
      <c r="AW188" s="117" t="s">
        <v>89</v>
      </c>
      <c r="AX188" s="117" t="s">
        <v>17</v>
      </c>
      <c r="AY188" s="117" t="s">
        <v>122</v>
      </c>
    </row>
    <row r="189" spans="2:65" s="6" customFormat="1" ht="27" customHeight="1">
      <c r="B189" s="19"/>
      <c r="C189" s="108" t="s">
        <v>232</v>
      </c>
      <c r="D189" s="108" t="s">
        <v>124</v>
      </c>
      <c r="E189" s="109" t="s">
        <v>233</v>
      </c>
      <c r="F189" s="190" t="s">
        <v>234</v>
      </c>
      <c r="G189" s="191"/>
      <c r="H189" s="191"/>
      <c r="I189" s="191"/>
      <c r="J189" s="110" t="s">
        <v>212</v>
      </c>
      <c r="K189" s="111">
        <v>60.962</v>
      </c>
      <c r="L189" s="192"/>
      <c r="M189" s="191"/>
      <c r="N189" s="192">
        <f>ROUND($L$189*$K$189,2)</f>
        <v>0</v>
      </c>
      <c r="O189" s="191"/>
      <c r="P189" s="191"/>
      <c r="Q189" s="191"/>
      <c r="R189" s="20"/>
      <c r="T189" s="112"/>
      <c r="U189" s="26" t="s">
        <v>37</v>
      </c>
      <c r="V189" s="113">
        <v>0</v>
      </c>
      <c r="W189" s="113">
        <f>$V$189*$K$189</f>
        <v>0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6" t="s">
        <v>128</v>
      </c>
      <c r="AT189" s="6" t="s">
        <v>124</v>
      </c>
      <c r="AU189" s="6" t="s">
        <v>82</v>
      </c>
      <c r="AY189" s="6" t="s">
        <v>122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17</v>
      </c>
      <c r="BK189" s="115">
        <f>ROUND($L$189*$K$189,2)</f>
        <v>0</v>
      </c>
      <c r="BL189" s="6" t="s">
        <v>128</v>
      </c>
      <c r="BM189" s="6" t="s">
        <v>235</v>
      </c>
    </row>
    <row r="190" spans="2:51" s="6" customFormat="1" ht="18.75" customHeight="1">
      <c r="B190" s="116"/>
      <c r="E190" s="117"/>
      <c r="F190" s="193" t="s">
        <v>236</v>
      </c>
      <c r="G190" s="194"/>
      <c r="H190" s="194"/>
      <c r="I190" s="194"/>
      <c r="K190" s="118">
        <v>60.962</v>
      </c>
      <c r="R190" s="119"/>
      <c r="T190" s="120"/>
      <c r="AA190" s="121"/>
      <c r="AT190" s="117" t="s">
        <v>131</v>
      </c>
      <c r="AU190" s="117" t="s">
        <v>82</v>
      </c>
      <c r="AV190" s="117" t="s">
        <v>82</v>
      </c>
      <c r="AW190" s="117" t="s">
        <v>89</v>
      </c>
      <c r="AX190" s="117" t="s">
        <v>17</v>
      </c>
      <c r="AY190" s="117" t="s">
        <v>122</v>
      </c>
    </row>
    <row r="191" spans="2:65" s="6" customFormat="1" ht="27" customHeight="1">
      <c r="B191" s="19"/>
      <c r="C191" s="108" t="s">
        <v>237</v>
      </c>
      <c r="D191" s="108" t="s">
        <v>124</v>
      </c>
      <c r="E191" s="109" t="s">
        <v>238</v>
      </c>
      <c r="F191" s="190" t="s">
        <v>239</v>
      </c>
      <c r="G191" s="191"/>
      <c r="H191" s="191"/>
      <c r="I191" s="191"/>
      <c r="J191" s="110" t="s">
        <v>212</v>
      </c>
      <c r="K191" s="111">
        <v>4.48</v>
      </c>
      <c r="L191" s="192"/>
      <c r="M191" s="191"/>
      <c r="N191" s="192">
        <f>ROUND($L$191*$K$191,2)</f>
        <v>0</v>
      </c>
      <c r="O191" s="191"/>
      <c r="P191" s="191"/>
      <c r="Q191" s="191"/>
      <c r="R191" s="20"/>
      <c r="T191" s="112"/>
      <c r="U191" s="26" t="s">
        <v>37</v>
      </c>
      <c r="V191" s="113">
        <v>0</v>
      </c>
      <c r="W191" s="113">
        <f>$V$191*$K$191</f>
        <v>0</v>
      </c>
      <c r="X191" s="113">
        <v>0</v>
      </c>
      <c r="Y191" s="113">
        <f>$X$191*$K$191</f>
        <v>0</v>
      </c>
      <c r="Z191" s="113">
        <v>0</v>
      </c>
      <c r="AA191" s="114">
        <f>$Z$191*$K$191</f>
        <v>0</v>
      </c>
      <c r="AR191" s="6" t="s">
        <v>128</v>
      </c>
      <c r="AT191" s="6" t="s">
        <v>124</v>
      </c>
      <c r="AU191" s="6" t="s">
        <v>82</v>
      </c>
      <c r="AY191" s="6" t="s">
        <v>122</v>
      </c>
      <c r="BE191" s="115">
        <f>IF($U$191="základní",$N$191,0)</f>
        <v>0</v>
      </c>
      <c r="BF191" s="115">
        <f>IF($U$191="snížená",$N$191,0)</f>
        <v>0</v>
      </c>
      <c r="BG191" s="115">
        <f>IF($U$191="zákl. přenesená",$N$191,0)</f>
        <v>0</v>
      </c>
      <c r="BH191" s="115">
        <f>IF($U$191="sníž. přenesená",$N$191,0)</f>
        <v>0</v>
      </c>
      <c r="BI191" s="115">
        <f>IF($U$191="nulová",$N$191,0)</f>
        <v>0</v>
      </c>
      <c r="BJ191" s="6" t="s">
        <v>17</v>
      </c>
      <c r="BK191" s="115">
        <f>ROUND($L$191*$K$191,2)</f>
        <v>0</v>
      </c>
      <c r="BL191" s="6" t="s">
        <v>128</v>
      </c>
      <c r="BM191" s="6" t="s">
        <v>240</v>
      </c>
    </row>
    <row r="192" spans="2:51" s="6" customFormat="1" ht="18.75" customHeight="1">
      <c r="B192" s="116"/>
      <c r="E192" s="117"/>
      <c r="F192" s="193" t="s">
        <v>241</v>
      </c>
      <c r="G192" s="194"/>
      <c r="H192" s="194"/>
      <c r="I192" s="194"/>
      <c r="K192" s="118">
        <v>4.48</v>
      </c>
      <c r="R192" s="119"/>
      <c r="T192" s="120"/>
      <c r="AA192" s="121"/>
      <c r="AT192" s="117" t="s">
        <v>131</v>
      </c>
      <c r="AU192" s="117" t="s">
        <v>82</v>
      </c>
      <c r="AV192" s="117" t="s">
        <v>82</v>
      </c>
      <c r="AW192" s="117" t="s">
        <v>89</v>
      </c>
      <c r="AX192" s="117" t="s">
        <v>17</v>
      </c>
      <c r="AY192" s="117" t="s">
        <v>122</v>
      </c>
    </row>
    <row r="193" spans="2:65" s="6" customFormat="1" ht="27" customHeight="1">
      <c r="B193" s="19"/>
      <c r="C193" s="108" t="s">
        <v>242</v>
      </c>
      <c r="D193" s="108" t="s">
        <v>124</v>
      </c>
      <c r="E193" s="109" t="s">
        <v>243</v>
      </c>
      <c r="F193" s="190" t="s">
        <v>244</v>
      </c>
      <c r="G193" s="191"/>
      <c r="H193" s="191"/>
      <c r="I193" s="191"/>
      <c r="J193" s="110" t="s">
        <v>212</v>
      </c>
      <c r="K193" s="111">
        <v>57.631</v>
      </c>
      <c r="L193" s="192"/>
      <c r="M193" s="191"/>
      <c r="N193" s="192">
        <f>ROUND($L$193*$K$193,2)</f>
        <v>0</v>
      </c>
      <c r="O193" s="191"/>
      <c r="P193" s="191"/>
      <c r="Q193" s="191"/>
      <c r="R193" s="20"/>
      <c r="T193" s="112"/>
      <c r="U193" s="26" t="s">
        <v>37</v>
      </c>
      <c r="V193" s="113">
        <v>0</v>
      </c>
      <c r="W193" s="113">
        <f>$V$193*$K$193</f>
        <v>0</v>
      </c>
      <c r="X193" s="113">
        <v>0</v>
      </c>
      <c r="Y193" s="113">
        <f>$X$193*$K$193</f>
        <v>0</v>
      </c>
      <c r="Z193" s="113">
        <v>0</v>
      </c>
      <c r="AA193" s="114">
        <f>$Z$193*$K$193</f>
        <v>0</v>
      </c>
      <c r="AR193" s="6" t="s">
        <v>128</v>
      </c>
      <c r="AT193" s="6" t="s">
        <v>124</v>
      </c>
      <c r="AU193" s="6" t="s">
        <v>82</v>
      </c>
      <c r="AY193" s="6" t="s">
        <v>122</v>
      </c>
      <c r="BE193" s="115">
        <f>IF($U$193="základní",$N$193,0)</f>
        <v>0</v>
      </c>
      <c r="BF193" s="115">
        <f>IF($U$193="snížená",$N$193,0)</f>
        <v>0</v>
      </c>
      <c r="BG193" s="115">
        <f>IF($U$193="zákl. přenesená",$N$193,0)</f>
        <v>0</v>
      </c>
      <c r="BH193" s="115">
        <f>IF($U$193="sníž. přenesená",$N$193,0)</f>
        <v>0</v>
      </c>
      <c r="BI193" s="115">
        <f>IF($U$193="nulová",$N$193,0)</f>
        <v>0</v>
      </c>
      <c r="BJ193" s="6" t="s">
        <v>17</v>
      </c>
      <c r="BK193" s="115">
        <f>ROUND($L$193*$K$193,2)</f>
        <v>0</v>
      </c>
      <c r="BL193" s="6" t="s">
        <v>128</v>
      </c>
      <c r="BM193" s="6" t="s">
        <v>245</v>
      </c>
    </row>
    <row r="194" spans="2:51" s="6" customFormat="1" ht="18.75" customHeight="1">
      <c r="B194" s="116"/>
      <c r="E194" s="117"/>
      <c r="F194" s="193" t="s">
        <v>246</v>
      </c>
      <c r="G194" s="194"/>
      <c r="H194" s="194"/>
      <c r="I194" s="194"/>
      <c r="K194" s="118">
        <v>57.631</v>
      </c>
      <c r="R194" s="119"/>
      <c r="T194" s="120"/>
      <c r="AA194" s="121"/>
      <c r="AT194" s="117" t="s">
        <v>131</v>
      </c>
      <c r="AU194" s="117" t="s">
        <v>82</v>
      </c>
      <c r="AV194" s="117" t="s">
        <v>82</v>
      </c>
      <c r="AW194" s="117" t="s">
        <v>89</v>
      </c>
      <c r="AX194" s="117" t="s">
        <v>17</v>
      </c>
      <c r="AY194" s="117" t="s">
        <v>122</v>
      </c>
    </row>
    <row r="195" spans="2:65" s="6" customFormat="1" ht="27" customHeight="1">
      <c r="B195" s="19"/>
      <c r="C195" s="108" t="s">
        <v>247</v>
      </c>
      <c r="D195" s="108" t="s">
        <v>124</v>
      </c>
      <c r="E195" s="109" t="s">
        <v>248</v>
      </c>
      <c r="F195" s="190" t="s">
        <v>249</v>
      </c>
      <c r="G195" s="191"/>
      <c r="H195" s="191"/>
      <c r="I195" s="191"/>
      <c r="J195" s="110" t="s">
        <v>212</v>
      </c>
      <c r="K195" s="111">
        <v>0.114</v>
      </c>
      <c r="L195" s="192"/>
      <c r="M195" s="191"/>
      <c r="N195" s="192">
        <f>ROUND($L$195*$K$195,2)</f>
        <v>0</v>
      </c>
      <c r="O195" s="191"/>
      <c r="P195" s="191"/>
      <c r="Q195" s="191"/>
      <c r="R195" s="20"/>
      <c r="T195" s="112"/>
      <c r="U195" s="26" t="s">
        <v>37</v>
      </c>
      <c r="V195" s="113">
        <v>0</v>
      </c>
      <c r="W195" s="113">
        <f>$V$195*$K$195</f>
        <v>0</v>
      </c>
      <c r="X195" s="113">
        <v>0</v>
      </c>
      <c r="Y195" s="113">
        <f>$X$195*$K$195</f>
        <v>0</v>
      </c>
      <c r="Z195" s="113">
        <v>0</v>
      </c>
      <c r="AA195" s="114">
        <f>$Z$195*$K$195</f>
        <v>0</v>
      </c>
      <c r="AR195" s="6" t="s">
        <v>128</v>
      </c>
      <c r="AT195" s="6" t="s">
        <v>124</v>
      </c>
      <c r="AU195" s="6" t="s">
        <v>82</v>
      </c>
      <c r="AY195" s="6" t="s">
        <v>122</v>
      </c>
      <c r="BE195" s="115">
        <f>IF($U$195="základní",$N$195,0)</f>
        <v>0</v>
      </c>
      <c r="BF195" s="115">
        <f>IF($U$195="snížená",$N$195,0)</f>
        <v>0</v>
      </c>
      <c r="BG195" s="115">
        <f>IF($U$195="zákl. přenesená",$N$195,0)</f>
        <v>0</v>
      </c>
      <c r="BH195" s="115">
        <f>IF($U$195="sníž. přenesená",$N$195,0)</f>
        <v>0</v>
      </c>
      <c r="BI195" s="115">
        <f>IF($U$195="nulová",$N$195,0)</f>
        <v>0</v>
      </c>
      <c r="BJ195" s="6" t="s">
        <v>17</v>
      </c>
      <c r="BK195" s="115">
        <f>ROUND($L$195*$K$195,2)</f>
        <v>0</v>
      </c>
      <c r="BL195" s="6" t="s">
        <v>128</v>
      </c>
      <c r="BM195" s="6" t="s">
        <v>250</v>
      </c>
    </row>
    <row r="196" spans="2:51" s="6" customFormat="1" ht="18.75" customHeight="1">
      <c r="B196" s="116"/>
      <c r="E196" s="117"/>
      <c r="F196" s="193" t="s">
        <v>251</v>
      </c>
      <c r="G196" s="194"/>
      <c r="H196" s="194"/>
      <c r="I196" s="194"/>
      <c r="K196" s="118">
        <v>0.114</v>
      </c>
      <c r="R196" s="119"/>
      <c r="T196" s="120"/>
      <c r="AA196" s="121"/>
      <c r="AT196" s="117" t="s">
        <v>131</v>
      </c>
      <c r="AU196" s="117" t="s">
        <v>82</v>
      </c>
      <c r="AV196" s="117" t="s">
        <v>82</v>
      </c>
      <c r="AW196" s="117" t="s">
        <v>89</v>
      </c>
      <c r="AX196" s="117" t="s">
        <v>17</v>
      </c>
      <c r="AY196" s="117" t="s">
        <v>122</v>
      </c>
    </row>
    <row r="197" spans="2:65" s="6" customFormat="1" ht="27" customHeight="1">
      <c r="B197" s="19"/>
      <c r="C197" s="108" t="s">
        <v>252</v>
      </c>
      <c r="D197" s="108" t="s">
        <v>124</v>
      </c>
      <c r="E197" s="109" t="s">
        <v>253</v>
      </c>
      <c r="F197" s="190" t="s">
        <v>254</v>
      </c>
      <c r="G197" s="191"/>
      <c r="H197" s="191"/>
      <c r="I197" s="191"/>
      <c r="J197" s="110" t="s">
        <v>212</v>
      </c>
      <c r="K197" s="111">
        <v>1</v>
      </c>
      <c r="L197" s="192"/>
      <c r="M197" s="191"/>
      <c r="N197" s="192">
        <f>ROUND($L$197*$K$197,2)</f>
        <v>0</v>
      </c>
      <c r="O197" s="191"/>
      <c r="P197" s="191"/>
      <c r="Q197" s="191"/>
      <c r="R197" s="20"/>
      <c r="T197" s="112"/>
      <c r="U197" s="26" t="s">
        <v>37</v>
      </c>
      <c r="V197" s="113">
        <v>0</v>
      </c>
      <c r="W197" s="113">
        <f>$V$197*$K$197</f>
        <v>0</v>
      </c>
      <c r="X197" s="113">
        <v>0</v>
      </c>
      <c r="Y197" s="113">
        <f>$X$197*$K$197</f>
        <v>0</v>
      </c>
      <c r="Z197" s="113">
        <v>0</v>
      </c>
      <c r="AA197" s="114">
        <f>$Z$197*$K$197</f>
        <v>0</v>
      </c>
      <c r="AR197" s="6" t="s">
        <v>128</v>
      </c>
      <c r="AT197" s="6" t="s">
        <v>124</v>
      </c>
      <c r="AU197" s="6" t="s">
        <v>82</v>
      </c>
      <c r="AY197" s="6" t="s">
        <v>122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17</v>
      </c>
      <c r="BK197" s="115">
        <f>ROUND($L$197*$K$197,2)</f>
        <v>0</v>
      </c>
      <c r="BL197" s="6" t="s">
        <v>128</v>
      </c>
      <c r="BM197" s="6" t="s">
        <v>255</v>
      </c>
    </row>
    <row r="198" spans="2:51" s="6" customFormat="1" ht="18.75" customHeight="1">
      <c r="B198" s="116"/>
      <c r="E198" s="117"/>
      <c r="F198" s="193" t="s">
        <v>256</v>
      </c>
      <c r="G198" s="194"/>
      <c r="H198" s="194"/>
      <c r="I198" s="194"/>
      <c r="K198" s="118">
        <v>1</v>
      </c>
      <c r="R198" s="119"/>
      <c r="T198" s="120"/>
      <c r="AA198" s="121"/>
      <c r="AT198" s="117" t="s">
        <v>131</v>
      </c>
      <c r="AU198" s="117" t="s">
        <v>82</v>
      </c>
      <c r="AV198" s="117" t="s">
        <v>82</v>
      </c>
      <c r="AW198" s="117" t="s">
        <v>89</v>
      </c>
      <c r="AX198" s="117" t="s">
        <v>17</v>
      </c>
      <c r="AY198" s="117" t="s">
        <v>122</v>
      </c>
    </row>
    <row r="199" spans="2:63" s="98" customFormat="1" ht="30.75" customHeight="1">
      <c r="B199" s="99"/>
      <c r="D199" s="107" t="s">
        <v>96</v>
      </c>
      <c r="E199" s="107"/>
      <c r="F199" s="107"/>
      <c r="G199" s="107"/>
      <c r="H199" s="107"/>
      <c r="I199" s="107"/>
      <c r="J199" s="107"/>
      <c r="K199" s="107"/>
      <c r="L199" s="107"/>
      <c r="M199" s="107"/>
      <c r="N199" s="202">
        <f>$BK$199</f>
        <v>0</v>
      </c>
      <c r="O199" s="203"/>
      <c r="P199" s="203"/>
      <c r="Q199" s="203"/>
      <c r="R199" s="102"/>
      <c r="T199" s="103"/>
      <c r="W199" s="104">
        <f>SUM($W$200:$W$205)</f>
        <v>82.316906</v>
      </c>
      <c r="Y199" s="104">
        <f>SUM($Y$200:$Y$205)</f>
        <v>0</v>
      </c>
      <c r="AA199" s="105">
        <f>SUM($AA$200:$AA$205)</f>
        <v>0</v>
      </c>
      <c r="AR199" s="101" t="s">
        <v>17</v>
      </c>
      <c r="AT199" s="101" t="s">
        <v>71</v>
      </c>
      <c r="AU199" s="101" t="s">
        <v>17</v>
      </c>
      <c r="AY199" s="101" t="s">
        <v>122</v>
      </c>
      <c r="BK199" s="106">
        <f>SUM($BK$200:$BK$205)</f>
        <v>0</v>
      </c>
    </row>
    <row r="200" spans="2:65" s="6" customFormat="1" ht="15.75" customHeight="1">
      <c r="B200" s="19"/>
      <c r="C200" s="108" t="s">
        <v>257</v>
      </c>
      <c r="D200" s="108" t="s">
        <v>124</v>
      </c>
      <c r="E200" s="109" t="s">
        <v>258</v>
      </c>
      <c r="F200" s="190" t="s">
        <v>259</v>
      </c>
      <c r="G200" s="191"/>
      <c r="H200" s="191"/>
      <c r="I200" s="191"/>
      <c r="J200" s="110" t="s">
        <v>212</v>
      </c>
      <c r="K200" s="111">
        <v>87.1</v>
      </c>
      <c r="L200" s="192"/>
      <c r="M200" s="191"/>
      <c r="N200" s="192">
        <f>ROUND($L$200*$K$200,2)</f>
        <v>0</v>
      </c>
      <c r="O200" s="191"/>
      <c r="P200" s="191"/>
      <c r="Q200" s="191"/>
      <c r="R200" s="20"/>
      <c r="T200" s="112"/>
      <c r="U200" s="26" t="s">
        <v>37</v>
      </c>
      <c r="V200" s="113">
        <v>0.831</v>
      </c>
      <c r="W200" s="113">
        <f>$V$200*$K$200</f>
        <v>72.3801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6" t="s">
        <v>128</v>
      </c>
      <c r="AT200" s="6" t="s">
        <v>124</v>
      </c>
      <c r="AU200" s="6" t="s">
        <v>82</v>
      </c>
      <c r="AY200" s="6" t="s">
        <v>122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17</v>
      </c>
      <c r="BK200" s="115">
        <f>ROUND($L$200*$K$200,2)</f>
        <v>0</v>
      </c>
      <c r="BL200" s="6" t="s">
        <v>128</v>
      </c>
      <c r="BM200" s="6" t="s">
        <v>260</v>
      </c>
    </row>
    <row r="201" spans="2:51" s="6" customFormat="1" ht="18.75" customHeight="1">
      <c r="B201" s="116"/>
      <c r="E201" s="117"/>
      <c r="F201" s="193" t="s">
        <v>261</v>
      </c>
      <c r="G201" s="194"/>
      <c r="H201" s="194"/>
      <c r="I201" s="194"/>
      <c r="K201" s="118">
        <v>60.962</v>
      </c>
      <c r="R201" s="119"/>
      <c r="T201" s="120"/>
      <c r="AA201" s="121"/>
      <c r="AT201" s="117" t="s">
        <v>131</v>
      </c>
      <c r="AU201" s="117" t="s">
        <v>82</v>
      </c>
      <c r="AV201" s="117" t="s">
        <v>82</v>
      </c>
      <c r="AW201" s="117" t="s">
        <v>89</v>
      </c>
      <c r="AX201" s="117" t="s">
        <v>72</v>
      </c>
      <c r="AY201" s="117" t="s">
        <v>122</v>
      </c>
    </row>
    <row r="202" spans="2:51" s="6" customFormat="1" ht="18.75" customHeight="1">
      <c r="B202" s="116"/>
      <c r="E202" s="117"/>
      <c r="F202" s="193" t="s">
        <v>262</v>
      </c>
      <c r="G202" s="194"/>
      <c r="H202" s="194"/>
      <c r="I202" s="194"/>
      <c r="K202" s="118">
        <v>26.138</v>
      </c>
      <c r="R202" s="119"/>
      <c r="T202" s="120"/>
      <c r="AA202" s="121"/>
      <c r="AT202" s="117" t="s">
        <v>131</v>
      </c>
      <c r="AU202" s="117" t="s">
        <v>82</v>
      </c>
      <c r="AV202" s="117" t="s">
        <v>82</v>
      </c>
      <c r="AW202" s="117" t="s">
        <v>89</v>
      </c>
      <c r="AX202" s="117" t="s">
        <v>72</v>
      </c>
      <c r="AY202" s="117" t="s">
        <v>122</v>
      </c>
    </row>
    <row r="203" spans="2:51" s="6" customFormat="1" ht="18.75" customHeight="1">
      <c r="B203" s="122"/>
      <c r="E203" s="123"/>
      <c r="F203" s="195" t="s">
        <v>137</v>
      </c>
      <c r="G203" s="196"/>
      <c r="H203" s="196"/>
      <c r="I203" s="196"/>
      <c r="K203" s="124">
        <v>87.1</v>
      </c>
      <c r="R203" s="125"/>
      <c r="T203" s="126"/>
      <c r="AA203" s="127"/>
      <c r="AT203" s="123" t="s">
        <v>131</v>
      </c>
      <c r="AU203" s="123" t="s">
        <v>82</v>
      </c>
      <c r="AV203" s="123" t="s">
        <v>128</v>
      </c>
      <c r="AW203" s="123" t="s">
        <v>89</v>
      </c>
      <c r="AX203" s="123" t="s">
        <v>17</v>
      </c>
      <c r="AY203" s="123" t="s">
        <v>122</v>
      </c>
    </row>
    <row r="204" spans="2:65" s="6" customFormat="1" ht="27" customHeight="1">
      <c r="B204" s="19"/>
      <c r="C204" s="108" t="s">
        <v>263</v>
      </c>
      <c r="D204" s="108" t="s">
        <v>124</v>
      </c>
      <c r="E204" s="109" t="s">
        <v>264</v>
      </c>
      <c r="F204" s="190" t="s">
        <v>265</v>
      </c>
      <c r="G204" s="191"/>
      <c r="H204" s="191"/>
      <c r="I204" s="191"/>
      <c r="J204" s="110" t="s">
        <v>212</v>
      </c>
      <c r="K204" s="111">
        <v>60.962</v>
      </c>
      <c r="L204" s="192"/>
      <c r="M204" s="191"/>
      <c r="N204" s="192">
        <f>ROUND($L$204*$K$204,2)</f>
        <v>0</v>
      </c>
      <c r="O204" s="191"/>
      <c r="P204" s="191"/>
      <c r="Q204" s="191"/>
      <c r="R204" s="20"/>
      <c r="T204" s="112"/>
      <c r="U204" s="26" t="s">
        <v>37</v>
      </c>
      <c r="V204" s="113">
        <v>0.163</v>
      </c>
      <c r="W204" s="113">
        <f>$V$204*$K$204</f>
        <v>9.936806</v>
      </c>
      <c r="X204" s="113">
        <v>0</v>
      </c>
      <c r="Y204" s="113">
        <f>$X$204*$K$204</f>
        <v>0</v>
      </c>
      <c r="Z204" s="113">
        <v>0</v>
      </c>
      <c r="AA204" s="114">
        <f>$Z$204*$K$204</f>
        <v>0</v>
      </c>
      <c r="AR204" s="6" t="s">
        <v>128</v>
      </c>
      <c r="AT204" s="6" t="s">
        <v>124</v>
      </c>
      <c r="AU204" s="6" t="s">
        <v>82</v>
      </c>
      <c r="AY204" s="6" t="s">
        <v>122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6" t="s">
        <v>17</v>
      </c>
      <c r="BK204" s="115">
        <f>ROUND($L$204*$K$204,2)</f>
        <v>0</v>
      </c>
      <c r="BL204" s="6" t="s">
        <v>128</v>
      </c>
      <c r="BM204" s="6" t="s">
        <v>266</v>
      </c>
    </row>
    <row r="205" spans="2:51" s="6" customFormat="1" ht="18.75" customHeight="1">
      <c r="B205" s="116"/>
      <c r="E205" s="117"/>
      <c r="F205" s="193" t="s">
        <v>267</v>
      </c>
      <c r="G205" s="194"/>
      <c r="H205" s="194"/>
      <c r="I205" s="194"/>
      <c r="K205" s="118">
        <v>60.962</v>
      </c>
      <c r="R205" s="119"/>
      <c r="T205" s="120"/>
      <c r="AA205" s="121"/>
      <c r="AT205" s="117" t="s">
        <v>131</v>
      </c>
      <c r="AU205" s="117" t="s">
        <v>82</v>
      </c>
      <c r="AV205" s="117" t="s">
        <v>82</v>
      </c>
      <c r="AW205" s="117" t="s">
        <v>89</v>
      </c>
      <c r="AX205" s="117" t="s">
        <v>17</v>
      </c>
      <c r="AY205" s="117" t="s">
        <v>122</v>
      </c>
    </row>
    <row r="206" spans="2:63" s="98" customFormat="1" ht="37.5" customHeight="1">
      <c r="B206" s="99"/>
      <c r="D206" s="100" t="s">
        <v>97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204">
        <f>$BK$206</f>
        <v>0</v>
      </c>
      <c r="O206" s="203"/>
      <c r="P206" s="203"/>
      <c r="Q206" s="203"/>
      <c r="R206" s="102"/>
      <c r="T206" s="103"/>
      <c r="W206" s="104">
        <f>$W$207+$W$216+$W$226+$W$235+$W$249</f>
        <v>1040.753235</v>
      </c>
      <c r="Y206" s="104">
        <f>$Y$207+$Y$216+$Y$226+$Y$235+$Y$249</f>
        <v>2.88327785</v>
      </c>
      <c r="AA206" s="105">
        <f>$AA$207+$AA$216+$AA$226+$AA$235+$AA$249</f>
        <v>0.77540299</v>
      </c>
      <c r="AR206" s="101" t="s">
        <v>82</v>
      </c>
      <c r="AT206" s="101" t="s">
        <v>71</v>
      </c>
      <c r="AU206" s="101" t="s">
        <v>72</v>
      </c>
      <c r="AY206" s="101" t="s">
        <v>122</v>
      </c>
      <c r="BK206" s="106">
        <f>$BK$207+$BK$216+$BK$226+$BK$235+$BK$249</f>
        <v>0</v>
      </c>
    </row>
    <row r="207" spans="2:63" s="98" customFormat="1" ht="21" customHeight="1">
      <c r="B207" s="99"/>
      <c r="D207" s="107" t="s">
        <v>98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202">
        <f>$BK$207</f>
        <v>0</v>
      </c>
      <c r="O207" s="203"/>
      <c r="P207" s="203"/>
      <c r="Q207" s="203"/>
      <c r="R207" s="102"/>
      <c r="T207" s="103"/>
      <c r="W207" s="104">
        <f>SUM($W$208:$W$215)</f>
        <v>53.802178000000005</v>
      </c>
      <c r="Y207" s="104">
        <f>SUM($Y$208:$Y$215)</f>
        <v>1.6742404000000002</v>
      </c>
      <c r="AA207" s="105">
        <f>SUM($AA$208:$AA$215)</f>
        <v>0</v>
      </c>
      <c r="AR207" s="101" t="s">
        <v>82</v>
      </c>
      <c r="AT207" s="101" t="s">
        <v>71</v>
      </c>
      <c r="AU207" s="101" t="s">
        <v>17</v>
      </c>
      <c r="AY207" s="101" t="s">
        <v>122</v>
      </c>
      <c r="BK207" s="106">
        <f>SUM($BK$208:$BK$215)</f>
        <v>0</v>
      </c>
    </row>
    <row r="208" spans="2:65" s="6" customFormat="1" ht="27" customHeight="1">
      <c r="B208" s="19"/>
      <c r="C208" s="108" t="s">
        <v>268</v>
      </c>
      <c r="D208" s="108" t="s">
        <v>124</v>
      </c>
      <c r="E208" s="109" t="s">
        <v>269</v>
      </c>
      <c r="F208" s="190" t="s">
        <v>270</v>
      </c>
      <c r="G208" s="191"/>
      <c r="H208" s="191"/>
      <c r="I208" s="191"/>
      <c r="J208" s="110" t="s">
        <v>196</v>
      </c>
      <c r="K208" s="111">
        <v>118.507</v>
      </c>
      <c r="L208" s="192"/>
      <c r="M208" s="191"/>
      <c r="N208" s="192">
        <f>ROUND($L$208*$K$208,2)</f>
        <v>0</v>
      </c>
      <c r="O208" s="191"/>
      <c r="P208" s="191"/>
      <c r="Q208" s="191"/>
      <c r="R208" s="20"/>
      <c r="T208" s="112"/>
      <c r="U208" s="26" t="s">
        <v>37</v>
      </c>
      <c r="V208" s="113">
        <v>0.454</v>
      </c>
      <c r="W208" s="113">
        <f>$V$208*$K$208</f>
        <v>53.802178000000005</v>
      </c>
      <c r="X208" s="113">
        <v>0</v>
      </c>
      <c r="Y208" s="113">
        <f>$X$208*$K$208</f>
        <v>0</v>
      </c>
      <c r="Z208" s="113">
        <v>0</v>
      </c>
      <c r="AA208" s="114">
        <f>$Z$208*$K$208</f>
        <v>0</v>
      </c>
      <c r="AR208" s="6" t="s">
        <v>271</v>
      </c>
      <c r="AT208" s="6" t="s">
        <v>124</v>
      </c>
      <c r="AU208" s="6" t="s">
        <v>82</v>
      </c>
      <c r="AY208" s="6" t="s">
        <v>122</v>
      </c>
      <c r="BE208" s="115">
        <f>IF($U$208="základní",$N$208,0)</f>
        <v>0</v>
      </c>
      <c r="BF208" s="115">
        <f>IF($U$208="snížená",$N$208,0)</f>
        <v>0</v>
      </c>
      <c r="BG208" s="115">
        <f>IF($U$208="zákl. přenesená",$N$208,0)</f>
        <v>0</v>
      </c>
      <c r="BH208" s="115">
        <f>IF($U$208="sníž. přenesená",$N$208,0)</f>
        <v>0</v>
      </c>
      <c r="BI208" s="115">
        <f>IF($U$208="nulová",$N$208,0)</f>
        <v>0</v>
      </c>
      <c r="BJ208" s="6" t="s">
        <v>17</v>
      </c>
      <c r="BK208" s="115">
        <f>ROUND($L$208*$K$208,2)</f>
        <v>0</v>
      </c>
      <c r="BL208" s="6" t="s">
        <v>271</v>
      </c>
      <c r="BM208" s="6" t="s">
        <v>272</v>
      </c>
    </row>
    <row r="209" spans="2:51" s="6" customFormat="1" ht="18.75" customHeight="1">
      <c r="B209" s="116"/>
      <c r="E209" s="117"/>
      <c r="F209" s="193" t="s">
        <v>273</v>
      </c>
      <c r="G209" s="194"/>
      <c r="H209" s="194"/>
      <c r="I209" s="194"/>
      <c r="K209" s="118">
        <v>118.507</v>
      </c>
      <c r="R209" s="119"/>
      <c r="T209" s="120"/>
      <c r="AA209" s="121"/>
      <c r="AT209" s="117" t="s">
        <v>131</v>
      </c>
      <c r="AU209" s="117" t="s">
        <v>82</v>
      </c>
      <c r="AV209" s="117" t="s">
        <v>82</v>
      </c>
      <c r="AW209" s="117" t="s">
        <v>89</v>
      </c>
      <c r="AX209" s="117" t="s">
        <v>17</v>
      </c>
      <c r="AY209" s="117" t="s">
        <v>122</v>
      </c>
    </row>
    <row r="210" spans="2:65" s="6" customFormat="1" ht="27" customHeight="1">
      <c r="B210" s="19"/>
      <c r="C210" s="128" t="s">
        <v>274</v>
      </c>
      <c r="D210" s="128" t="s">
        <v>139</v>
      </c>
      <c r="E210" s="129" t="s">
        <v>275</v>
      </c>
      <c r="F210" s="197" t="s">
        <v>276</v>
      </c>
      <c r="G210" s="198"/>
      <c r="H210" s="198"/>
      <c r="I210" s="198"/>
      <c r="J210" s="130" t="s">
        <v>174</v>
      </c>
      <c r="K210" s="131">
        <v>2.92</v>
      </c>
      <c r="L210" s="199"/>
      <c r="M210" s="198"/>
      <c r="N210" s="199">
        <f>ROUND($L$210*$K$210,2)</f>
        <v>0</v>
      </c>
      <c r="O210" s="191"/>
      <c r="P210" s="191"/>
      <c r="Q210" s="191"/>
      <c r="R210" s="20"/>
      <c r="T210" s="112"/>
      <c r="U210" s="26" t="s">
        <v>37</v>
      </c>
      <c r="V210" s="113">
        <v>0</v>
      </c>
      <c r="W210" s="113">
        <f>$V$210*$K$210</f>
        <v>0</v>
      </c>
      <c r="X210" s="113">
        <v>0.55</v>
      </c>
      <c r="Y210" s="113">
        <f>$X$210*$K$210</f>
        <v>1.606</v>
      </c>
      <c r="Z210" s="113">
        <v>0</v>
      </c>
      <c r="AA210" s="114">
        <f>$Z$210*$K$210</f>
        <v>0</v>
      </c>
      <c r="AR210" s="6" t="s">
        <v>146</v>
      </c>
      <c r="AT210" s="6" t="s">
        <v>139</v>
      </c>
      <c r="AU210" s="6" t="s">
        <v>82</v>
      </c>
      <c r="AY210" s="6" t="s">
        <v>122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17</v>
      </c>
      <c r="BK210" s="115">
        <f>ROUND($L$210*$K$210,2)</f>
        <v>0</v>
      </c>
      <c r="BL210" s="6" t="s">
        <v>271</v>
      </c>
      <c r="BM210" s="6" t="s">
        <v>277</v>
      </c>
    </row>
    <row r="211" spans="2:51" s="6" customFormat="1" ht="18.75" customHeight="1">
      <c r="B211" s="116"/>
      <c r="E211" s="117"/>
      <c r="F211" s="193" t="s">
        <v>278</v>
      </c>
      <c r="G211" s="194"/>
      <c r="H211" s="194"/>
      <c r="I211" s="194"/>
      <c r="K211" s="118">
        <v>2.92</v>
      </c>
      <c r="R211" s="119"/>
      <c r="T211" s="120"/>
      <c r="AA211" s="121"/>
      <c r="AT211" s="117" t="s">
        <v>131</v>
      </c>
      <c r="AU211" s="117" t="s">
        <v>82</v>
      </c>
      <c r="AV211" s="117" t="s">
        <v>82</v>
      </c>
      <c r="AW211" s="117" t="s">
        <v>89</v>
      </c>
      <c r="AX211" s="117" t="s">
        <v>17</v>
      </c>
      <c r="AY211" s="117" t="s">
        <v>122</v>
      </c>
    </row>
    <row r="212" spans="2:65" s="6" customFormat="1" ht="27" customHeight="1">
      <c r="B212" s="19"/>
      <c r="C212" s="108" t="s">
        <v>279</v>
      </c>
      <c r="D212" s="108" t="s">
        <v>124</v>
      </c>
      <c r="E212" s="109" t="s">
        <v>280</v>
      </c>
      <c r="F212" s="190" t="s">
        <v>281</v>
      </c>
      <c r="G212" s="191"/>
      <c r="H212" s="191"/>
      <c r="I212" s="191"/>
      <c r="J212" s="110" t="s">
        <v>174</v>
      </c>
      <c r="K212" s="111">
        <v>2.92</v>
      </c>
      <c r="L212" s="192"/>
      <c r="M212" s="191"/>
      <c r="N212" s="192">
        <f>ROUND($L$212*$K$212,2)</f>
        <v>0</v>
      </c>
      <c r="O212" s="191"/>
      <c r="P212" s="191"/>
      <c r="Q212" s="191"/>
      <c r="R212" s="20"/>
      <c r="T212" s="112"/>
      <c r="U212" s="26" t="s">
        <v>37</v>
      </c>
      <c r="V212" s="113">
        <v>0</v>
      </c>
      <c r="W212" s="113">
        <f>$V$212*$K$212</f>
        <v>0</v>
      </c>
      <c r="X212" s="113">
        <v>0.02337</v>
      </c>
      <c r="Y212" s="113">
        <f>$X$212*$K$212</f>
        <v>0.06824039999999999</v>
      </c>
      <c r="Z212" s="113">
        <v>0</v>
      </c>
      <c r="AA212" s="114">
        <f>$Z$212*$K$212</f>
        <v>0</v>
      </c>
      <c r="AR212" s="6" t="s">
        <v>271</v>
      </c>
      <c r="AT212" s="6" t="s">
        <v>124</v>
      </c>
      <c r="AU212" s="6" t="s">
        <v>82</v>
      </c>
      <c r="AY212" s="6" t="s">
        <v>122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6" t="s">
        <v>17</v>
      </c>
      <c r="BK212" s="115">
        <f>ROUND($L$212*$K$212,2)</f>
        <v>0</v>
      </c>
      <c r="BL212" s="6" t="s">
        <v>271</v>
      </c>
      <c r="BM212" s="6" t="s">
        <v>282</v>
      </c>
    </row>
    <row r="213" spans="2:51" s="6" customFormat="1" ht="18.75" customHeight="1">
      <c r="B213" s="116"/>
      <c r="E213" s="117"/>
      <c r="F213" s="193" t="s">
        <v>283</v>
      </c>
      <c r="G213" s="194"/>
      <c r="H213" s="194"/>
      <c r="I213" s="194"/>
      <c r="K213" s="118">
        <v>2.92</v>
      </c>
      <c r="R213" s="119"/>
      <c r="T213" s="120"/>
      <c r="AA213" s="121"/>
      <c r="AT213" s="117" t="s">
        <v>131</v>
      </c>
      <c r="AU213" s="117" t="s">
        <v>82</v>
      </c>
      <c r="AV213" s="117" t="s">
        <v>82</v>
      </c>
      <c r="AW213" s="117" t="s">
        <v>89</v>
      </c>
      <c r="AX213" s="117" t="s">
        <v>17</v>
      </c>
      <c r="AY213" s="117" t="s">
        <v>122</v>
      </c>
    </row>
    <row r="214" spans="2:65" s="6" customFormat="1" ht="27" customHeight="1">
      <c r="B214" s="19"/>
      <c r="C214" s="108" t="s">
        <v>284</v>
      </c>
      <c r="D214" s="108" t="s">
        <v>124</v>
      </c>
      <c r="E214" s="109" t="s">
        <v>285</v>
      </c>
      <c r="F214" s="190" t="s">
        <v>286</v>
      </c>
      <c r="G214" s="191"/>
      <c r="H214" s="191"/>
      <c r="I214" s="191"/>
      <c r="J214" s="110" t="s">
        <v>287</v>
      </c>
      <c r="K214" s="111"/>
      <c r="L214" s="192"/>
      <c r="M214" s="191"/>
      <c r="N214" s="192">
        <f>ROUND($L$214*$K$214,2)</f>
        <v>0</v>
      </c>
      <c r="O214" s="191"/>
      <c r="P214" s="191"/>
      <c r="Q214" s="191"/>
      <c r="R214" s="20"/>
      <c r="T214" s="112"/>
      <c r="U214" s="26" t="s">
        <v>37</v>
      </c>
      <c r="V214" s="113">
        <v>0</v>
      </c>
      <c r="W214" s="113">
        <f>$V$214*$K$214</f>
        <v>0</v>
      </c>
      <c r="X214" s="113">
        <v>0</v>
      </c>
      <c r="Y214" s="113">
        <f>$X$214*$K$214</f>
        <v>0</v>
      </c>
      <c r="Z214" s="113">
        <v>0</v>
      </c>
      <c r="AA214" s="114">
        <f>$Z$214*$K$214</f>
        <v>0</v>
      </c>
      <c r="AR214" s="6" t="s">
        <v>271</v>
      </c>
      <c r="AT214" s="6" t="s">
        <v>124</v>
      </c>
      <c r="AU214" s="6" t="s">
        <v>82</v>
      </c>
      <c r="AY214" s="6" t="s">
        <v>122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17</v>
      </c>
      <c r="BK214" s="115">
        <f>ROUND($L$214*$K$214,2)</f>
        <v>0</v>
      </c>
      <c r="BL214" s="6" t="s">
        <v>271</v>
      </c>
      <c r="BM214" s="6" t="s">
        <v>288</v>
      </c>
    </row>
    <row r="215" spans="2:65" s="6" customFormat="1" ht="27" customHeight="1">
      <c r="B215" s="19"/>
      <c r="C215" s="108" t="s">
        <v>289</v>
      </c>
      <c r="D215" s="108" t="s">
        <v>124</v>
      </c>
      <c r="E215" s="109" t="s">
        <v>290</v>
      </c>
      <c r="F215" s="190" t="s">
        <v>291</v>
      </c>
      <c r="G215" s="191"/>
      <c r="H215" s="191"/>
      <c r="I215" s="191"/>
      <c r="J215" s="110" t="s">
        <v>287</v>
      </c>
      <c r="K215" s="111"/>
      <c r="L215" s="192"/>
      <c r="M215" s="191"/>
      <c r="N215" s="192">
        <f>ROUND($L$215*$K$215,2)</f>
        <v>0</v>
      </c>
      <c r="O215" s="191"/>
      <c r="P215" s="191"/>
      <c r="Q215" s="191"/>
      <c r="R215" s="20"/>
      <c r="T215" s="112"/>
      <c r="U215" s="26" t="s">
        <v>37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6" t="s">
        <v>271</v>
      </c>
      <c r="AT215" s="6" t="s">
        <v>124</v>
      </c>
      <c r="AU215" s="6" t="s">
        <v>82</v>
      </c>
      <c r="AY215" s="6" t="s">
        <v>122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6" t="s">
        <v>17</v>
      </c>
      <c r="BK215" s="115">
        <f>ROUND($L$215*$K$215,2)</f>
        <v>0</v>
      </c>
      <c r="BL215" s="6" t="s">
        <v>271</v>
      </c>
      <c r="BM215" s="6" t="s">
        <v>292</v>
      </c>
    </row>
    <row r="216" spans="2:63" s="98" customFormat="1" ht="30.75" customHeight="1">
      <c r="B216" s="99"/>
      <c r="D216" s="107" t="s">
        <v>99</v>
      </c>
      <c r="E216" s="107"/>
      <c r="F216" s="107"/>
      <c r="G216" s="107"/>
      <c r="H216" s="107"/>
      <c r="I216" s="107"/>
      <c r="J216" s="107"/>
      <c r="K216" s="107"/>
      <c r="L216" s="107"/>
      <c r="M216" s="107"/>
      <c r="N216" s="202">
        <f>$BK$216</f>
        <v>0</v>
      </c>
      <c r="O216" s="203"/>
      <c r="P216" s="203"/>
      <c r="Q216" s="203"/>
      <c r="R216" s="102"/>
      <c r="T216" s="103"/>
      <c r="W216" s="104">
        <f>SUM($W$217:$W$225)</f>
        <v>184.41791500000002</v>
      </c>
      <c r="Y216" s="104">
        <f>SUM($Y$217:$Y$225)</f>
        <v>0.5309113599999999</v>
      </c>
      <c r="AA216" s="105">
        <f>SUM($AA$217:$AA$225)</f>
        <v>0.29549037</v>
      </c>
      <c r="AR216" s="101" t="s">
        <v>82</v>
      </c>
      <c r="AT216" s="101" t="s">
        <v>71</v>
      </c>
      <c r="AU216" s="101" t="s">
        <v>17</v>
      </c>
      <c r="AY216" s="101" t="s">
        <v>122</v>
      </c>
      <c r="BK216" s="106">
        <f>SUM($BK$217:$BK$225)</f>
        <v>0</v>
      </c>
    </row>
    <row r="217" spans="2:65" s="6" customFormat="1" ht="27" customHeight="1">
      <c r="B217" s="19"/>
      <c r="C217" s="108" t="s">
        <v>8</v>
      </c>
      <c r="D217" s="108" t="s">
        <v>124</v>
      </c>
      <c r="E217" s="109" t="s">
        <v>293</v>
      </c>
      <c r="F217" s="190" t="s">
        <v>294</v>
      </c>
      <c r="G217" s="191"/>
      <c r="H217" s="191"/>
      <c r="I217" s="191"/>
      <c r="J217" s="110" t="s">
        <v>196</v>
      </c>
      <c r="K217" s="111">
        <v>154.707</v>
      </c>
      <c r="L217" s="192"/>
      <c r="M217" s="191"/>
      <c r="N217" s="192">
        <f>ROUND($L$217*$K$217,2)</f>
        <v>0</v>
      </c>
      <c r="O217" s="191"/>
      <c r="P217" s="191"/>
      <c r="Q217" s="191"/>
      <c r="R217" s="20"/>
      <c r="T217" s="112"/>
      <c r="U217" s="26" t="s">
        <v>37</v>
      </c>
      <c r="V217" s="113">
        <v>0.43</v>
      </c>
      <c r="W217" s="113">
        <f>$V$217*$K$217</f>
        <v>66.52400999999999</v>
      </c>
      <c r="X217" s="113">
        <v>0</v>
      </c>
      <c r="Y217" s="113">
        <f>$X$217*$K$217</f>
        <v>0</v>
      </c>
      <c r="Z217" s="113">
        <v>0.00191</v>
      </c>
      <c r="AA217" s="114">
        <f>$Z$217*$K$217</f>
        <v>0.29549037</v>
      </c>
      <c r="AR217" s="6" t="s">
        <v>271</v>
      </c>
      <c r="AT217" s="6" t="s">
        <v>124</v>
      </c>
      <c r="AU217" s="6" t="s">
        <v>82</v>
      </c>
      <c r="AY217" s="6" t="s">
        <v>122</v>
      </c>
      <c r="BE217" s="115">
        <f>IF($U$217="základní",$N$217,0)</f>
        <v>0</v>
      </c>
      <c r="BF217" s="115">
        <f>IF($U$217="snížená",$N$217,0)</f>
        <v>0</v>
      </c>
      <c r="BG217" s="115">
        <f>IF($U$217="zákl. přenesená",$N$217,0)</f>
        <v>0</v>
      </c>
      <c r="BH217" s="115">
        <f>IF($U$217="sníž. přenesená",$N$217,0)</f>
        <v>0</v>
      </c>
      <c r="BI217" s="115">
        <f>IF($U$217="nulová",$N$217,0)</f>
        <v>0</v>
      </c>
      <c r="BJ217" s="6" t="s">
        <v>17</v>
      </c>
      <c r="BK217" s="115">
        <f>ROUND($L$217*$K$217,2)</f>
        <v>0</v>
      </c>
      <c r="BL217" s="6" t="s">
        <v>271</v>
      </c>
      <c r="BM217" s="6" t="s">
        <v>295</v>
      </c>
    </row>
    <row r="218" spans="2:51" s="6" customFormat="1" ht="18.75" customHeight="1">
      <c r="B218" s="132"/>
      <c r="E218" s="133"/>
      <c r="F218" s="200" t="s">
        <v>296</v>
      </c>
      <c r="G218" s="201"/>
      <c r="H218" s="201"/>
      <c r="I218" s="201"/>
      <c r="K218" s="133"/>
      <c r="R218" s="134"/>
      <c r="T218" s="135"/>
      <c r="AA218" s="136"/>
      <c r="AT218" s="133" t="s">
        <v>131</v>
      </c>
      <c r="AU218" s="133" t="s">
        <v>82</v>
      </c>
      <c r="AV218" s="133" t="s">
        <v>17</v>
      </c>
      <c r="AW218" s="133" t="s">
        <v>89</v>
      </c>
      <c r="AX218" s="133" t="s">
        <v>72</v>
      </c>
      <c r="AY218" s="133" t="s">
        <v>122</v>
      </c>
    </row>
    <row r="219" spans="2:51" s="6" customFormat="1" ht="18.75" customHeight="1">
      <c r="B219" s="116"/>
      <c r="E219" s="117"/>
      <c r="F219" s="193" t="s">
        <v>297</v>
      </c>
      <c r="G219" s="194"/>
      <c r="H219" s="194"/>
      <c r="I219" s="194"/>
      <c r="K219" s="118">
        <v>154.707</v>
      </c>
      <c r="R219" s="119"/>
      <c r="T219" s="120"/>
      <c r="AA219" s="121"/>
      <c r="AT219" s="117" t="s">
        <v>131</v>
      </c>
      <c r="AU219" s="117" t="s">
        <v>82</v>
      </c>
      <c r="AV219" s="117" t="s">
        <v>82</v>
      </c>
      <c r="AW219" s="117" t="s">
        <v>89</v>
      </c>
      <c r="AX219" s="117" t="s">
        <v>17</v>
      </c>
      <c r="AY219" s="117" t="s">
        <v>122</v>
      </c>
    </row>
    <row r="220" spans="2:65" s="6" customFormat="1" ht="27" customHeight="1">
      <c r="B220" s="19"/>
      <c r="C220" s="108" t="s">
        <v>298</v>
      </c>
      <c r="D220" s="108" t="s">
        <v>124</v>
      </c>
      <c r="E220" s="109" t="s">
        <v>299</v>
      </c>
      <c r="F220" s="190" t="s">
        <v>300</v>
      </c>
      <c r="G220" s="191"/>
      <c r="H220" s="191"/>
      <c r="I220" s="191"/>
      <c r="J220" s="110" t="s">
        <v>196</v>
      </c>
      <c r="K220" s="111">
        <v>118.507</v>
      </c>
      <c r="L220" s="192"/>
      <c r="M220" s="191"/>
      <c r="N220" s="192">
        <f>ROUND($L$220*$K$220,2)</f>
        <v>0</v>
      </c>
      <c r="O220" s="191"/>
      <c r="P220" s="191"/>
      <c r="Q220" s="191"/>
      <c r="R220" s="20"/>
      <c r="T220" s="112"/>
      <c r="U220" s="26" t="s">
        <v>37</v>
      </c>
      <c r="V220" s="113">
        <v>0.915</v>
      </c>
      <c r="W220" s="113">
        <f>$V$220*$K$220</f>
        <v>108.43390500000001</v>
      </c>
      <c r="X220" s="113">
        <v>0.00448</v>
      </c>
      <c r="Y220" s="113">
        <f>$X$220*$K$220</f>
        <v>0.5309113599999999</v>
      </c>
      <c r="Z220" s="113">
        <v>0</v>
      </c>
      <c r="AA220" s="114">
        <f>$Z$220*$K$220</f>
        <v>0</v>
      </c>
      <c r="AR220" s="6" t="s">
        <v>271</v>
      </c>
      <c r="AT220" s="6" t="s">
        <v>124</v>
      </c>
      <c r="AU220" s="6" t="s">
        <v>82</v>
      </c>
      <c r="AY220" s="6" t="s">
        <v>122</v>
      </c>
      <c r="BE220" s="115">
        <f>IF($U$220="základní",$N$220,0)</f>
        <v>0</v>
      </c>
      <c r="BF220" s="115">
        <f>IF($U$220="snížená",$N$220,0)</f>
        <v>0</v>
      </c>
      <c r="BG220" s="115">
        <f>IF($U$220="zákl. přenesená",$N$220,0)</f>
        <v>0</v>
      </c>
      <c r="BH220" s="115">
        <f>IF($U$220="sníž. přenesená",$N$220,0)</f>
        <v>0</v>
      </c>
      <c r="BI220" s="115">
        <f>IF($U$220="nulová",$N$220,0)</f>
        <v>0</v>
      </c>
      <c r="BJ220" s="6" t="s">
        <v>17</v>
      </c>
      <c r="BK220" s="115">
        <f>ROUND($L$220*$K$220,2)</f>
        <v>0</v>
      </c>
      <c r="BL220" s="6" t="s">
        <v>271</v>
      </c>
      <c r="BM220" s="6" t="s">
        <v>301</v>
      </c>
    </row>
    <row r="221" spans="2:51" s="6" customFormat="1" ht="18.75" customHeight="1">
      <c r="B221" s="116"/>
      <c r="E221" s="117"/>
      <c r="F221" s="193" t="s">
        <v>302</v>
      </c>
      <c r="G221" s="194"/>
      <c r="H221" s="194"/>
      <c r="I221" s="194"/>
      <c r="K221" s="118">
        <v>118.507</v>
      </c>
      <c r="R221" s="119"/>
      <c r="T221" s="120"/>
      <c r="AA221" s="121"/>
      <c r="AT221" s="117" t="s">
        <v>131</v>
      </c>
      <c r="AU221" s="117" t="s">
        <v>82</v>
      </c>
      <c r="AV221" s="117" t="s">
        <v>82</v>
      </c>
      <c r="AW221" s="117" t="s">
        <v>89</v>
      </c>
      <c r="AX221" s="117" t="s">
        <v>17</v>
      </c>
      <c r="AY221" s="117" t="s">
        <v>122</v>
      </c>
    </row>
    <row r="222" spans="2:65" s="6" customFormat="1" ht="39" customHeight="1">
      <c r="B222" s="19"/>
      <c r="C222" s="108" t="s">
        <v>303</v>
      </c>
      <c r="D222" s="108" t="s">
        <v>124</v>
      </c>
      <c r="E222" s="109" t="s">
        <v>304</v>
      </c>
      <c r="F222" s="190" t="s">
        <v>305</v>
      </c>
      <c r="G222" s="191"/>
      <c r="H222" s="191"/>
      <c r="I222" s="191"/>
      <c r="J222" s="110" t="s">
        <v>161</v>
      </c>
      <c r="K222" s="111">
        <v>22</v>
      </c>
      <c r="L222" s="192"/>
      <c r="M222" s="191"/>
      <c r="N222" s="192">
        <f>ROUND($L$222*$K$222,2)</f>
        <v>0</v>
      </c>
      <c r="O222" s="191"/>
      <c r="P222" s="191"/>
      <c r="Q222" s="191"/>
      <c r="R222" s="20"/>
      <c r="T222" s="112"/>
      <c r="U222" s="26" t="s">
        <v>37</v>
      </c>
      <c r="V222" s="113">
        <v>0.43</v>
      </c>
      <c r="W222" s="113">
        <f>$V$222*$K$222</f>
        <v>9.459999999999999</v>
      </c>
      <c r="X222" s="113">
        <v>0</v>
      </c>
      <c r="Y222" s="113">
        <f>$X$222*$K$222</f>
        <v>0</v>
      </c>
      <c r="Z222" s="113">
        <v>0</v>
      </c>
      <c r="AA222" s="114">
        <f>$Z$222*$K$222</f>
        <v>0</v>
      </c>
      <c r="AR222" s="6" t="s">
        <v>271</v>
      </c>
      <c r="AT222" s="6" t="s">
        <v>124</v>
      </c>
      <c r="AU222" s="6" t="s">
        <v>82</v>
      </c>
      <c r="AY222" s="6" t="s">
        <v>122</v>
      </c>
      <c r="BE222" s="115">
        <f>IF($U$222="základní",$N$222,0)</f>
        <v>0</v>
      </c>
      <c r="BF222" s="115">
        <f>IF($U$222="snížená",$N$222,0)</f>
        <v>0</v>
      </c>
      <c r="BG222" s="115">
        <f>IF($U$222="zákl. přenesená",$N$222,0)</f>
        <v>0</v>
      </c>
      <c r="BH222" s="115">
        <f>IF($U$222="sníž. přenesená",$N$222,0)</f>
        <v>0</v>
      </c>
      <c r="BI222" s="115">
        <f>IF($U$222="nulová",$N$222,0)</f>
        <v>0</v>
      </c>
      <c r="BJ222" s="6" t="s">
        <v>17</v>
      </c>
      <c r="BK222" s="115">
        <f>ROUND($L$222*$K$222,2)</f>
        <v>0</v>
      </c>
      <c r="BL222" s="6" t="s">
        <v>271</v>
      </c>
      <c r="BM222" s="6" t="s">
        <v>306</v>
      </c>
    </row>
    <row r="223" spans="2:51" s="6" customFormat="1" ht="18.75" customHeight="1">
      <c r="B223" s="116"/>
      <c r="E223" s="117"/>
      <c r="F223" s="193" t="s">
        <v>307</v>
      </c>
      <c r="G223" s="194"/>
      <c r="H223" s="194"/>
      <c r="I223" s="194"/>
      <c r="K223" s="118">
        <v>22</v>
      </c>
      <c r="R223" s="119"/>
      <c r="T223" s="120"/>
      <c r="AA223" s="121"/>
      <c r="AT223" s="117" t="s">
        <v>131</v>
      </c>
      <c r="AU223" s="117" t="s">
        <v>82</v>
      </c>
      <c r="AV223" s="117" t="s">
        <v>82</v>
      </c>
      <c r="AW223" s="117" t="s">
        <v>89</v>
      </c>
      <c r="AX223" s="117" t="s">
        <v>17</v>
      </c>
      <c r="AY223" s="117" t="s">
        <v>122</v>
      </c>
    </row>
    <row r="224" spans="2:65" s="6" customFormat="1" ht="27" customHeight="1">
      <c r="B224" s="19"/>
      <c r="C224" s="108" t="s">
        <v>308</v>
      </c>
      <c r="D224" s="108" t="s">
        <v>124</v>
      </c>
      <c r="E224" s="109" t="s">
        <v>309</v>
      </c>
      <c r="F224" s="190" t="s">
        <v>310</v>
      </c>
      <c r="G224" s="191"/>
      <c r="H224" s="191"/>
      <c r="I224" s="191"/>
      <c r="J224" s="110" t="s">
        <v>287</v>
      </c>
      <c r="K224" s="111"/>
      <c r="L224" s="192"/>
      <c r="M224" s="191"/>
      <c r="N224" s="192">
        <f>ROUND($L$224*$K$224,2)</f>
        <v>0</v>
      </c>
      <c r="O224" s="191"/>
      <c r="P224" s="191"/>
      <c r="Q224" s="191"/>
      <c r="R224" s="20"/>
      <c r="T224" s="112"/>
      <c r="U224" s="26" t="s">
        <v>37</v>
      </c>
      <c r="V224" s="113">
        <v>0</v>
      </c>
      <c r="W224" s="113">
        <f>$V$224*$K$224</f>
        <v>0</v>
      </c>
      <c r="X224" s="113">
        <v>0</v>
      </c>
      <c r="Y224" s="113">
        <f>$X$224*$K$224</f>
        <v>0</v>
      </c>
      <c r="Z224" s="113">
        <v>0</v>
      </c>
      <c r="AA224" s="114">
        <f>$Z$224*$K$224</f>
        <v>0</v>
      </c>
      <c r="AR224" s="6" t="s">
        <v>271</v>
      </c>
      <c r="AT224" s="6" t="s">
        <v>124</v>
      </c>
      <c r="AU224" s="6" t="s">
        <v>82</v>
      </c>
      <c r="AY224" s="6" t="s">
        <v>122</v>
      </c>
      <c r="BE224" s="115">
        <f>IF($U$224="základní",$N$224,0)</f>
        <v>0</v>
      </c>
      <c r="BF224" s="115">
        <f>IF($U$224="snížená",$N$224,0)</f>
        <v>0</v>
      </c>
      <c r="BG224" s="115">
        <f>IF($U$224="zákl. přenesená",$N$224,0)</f>
        <v>0</v>
      </c>
      <c r="BH224" s="115">
        <f>IF($U$224="sníž. přenesená",$N$224,0)</f>
        <v>0</v>
      </c>
      <c r="BI224" s="115">
        <f>IF($U$224="nulová",$N$224,0)</f>
        <v>0</v>
      </c>
      <c r="BJ224" s="6" t="s">
        <v>17</v>
      </c>
      <c r="BK224" s="115">
        <f>ROUND($L$224*$K$224,2)</f>
        <v>0</v>
      </c>
      <c r="BL224" s="6" t="s">
        <v>271</v>
      </c>
      <c r="BM224" s="6" t="s">
        <v>311</v>
      </c>
    </row>
    <row r="225" spans="2:65" s="6" customFormat="1" ht="27" customHeight="1">
      <c r="B225" s="19"/>
      <c r="C225" s="108" t="s">
        <v>312</v>
      </c>
      <c r="D225" s="108" t="s">
        <v>124</v>
      </c>
      <c r="E225" s="109" t="s">
        <v>313</v>
      </c>
      <c r="F225" s="190" t="s">
        <v>314</v>
      </c>
      <c r="G225" s="191"/>
      <c r="H225" s="191"/>
      <c r="I225" s="191"/>
      <c r="J225" s="110" t="s">
        <v>287</v>
      </c>
      <c r="K225" s="111"/>
      <c r="L225" s="192"/>
      <c r="M225" s="191"/>
      <c r="N225" s="192">
        <f>ROUND($L$225*$K$225,2)</f>
        <v>0</v>
      </c>
      <c r="O225" s="191"/>
      <c r="P225" s="191"/>
      <c r="Q225" s="191"/>
      <c r="R225" s="20"/>
      <c r="T225" s="112"/>
      <c r="U225" s="26" t="s">
        <v>37</v>
      </c>
      <c r="V225" s="113">
        <v>0</v>
      </c>
      <c r="W225" s="113">
        <f>$V$225*$K$225</f>
        <v>0</v>
      </c>
      <c r="X225" s="113">
        <v>0</v>
      </c>
      <c r="Y225" s="113">
        <f>$X$225*$K$225</f>
        <v>0</v>
      </c>
      <c r="Z225" s="113">
        <v>0</v>
      </c>
      <c r="AA225" s="114">
        <f>$Z$225*$K$225</f>
        <v>0</v>
      </c>
      <c r="AR225" s="6" t="s">
        <v>271</v>
      </c>
      <c r="AT225" s="6" t="s">
        <v>124</v>
      </c>
      <c r="AU225" s="6" t="s">
        <v>82</v>
      </c>
      <c r="AY225" s="6" t="s">
        <v>122</v>
      </c>
      <c r="BE225" s="115">
        <f>IF($U$225="základní",$N$225,0)</f>
        <v>0</v>
      </c>
      <c r="BF225" s="115">
        <f>IF($U$225="snížená",$N$225,0)</f>
        <v>0</v>
      </c>
      <c r="BG225" s="115">
        <f>IF($U$225="zákl. přenesená",$N$225,0)</f>
        <v>0</v>
      </c>
      <c r="BH225" s="115">
        <f>IF($U$225="sníž. přenesená",$N$225,0)</f>
        <v>0</v>
      </c>
      <c r="BI225" s="115">
        <f>IF($U$225="nulová",$N$225,0)</f>
        <v>0</v>
      </c>
      <c r="BJ225" s="6" t="s">
        <v>17</v>
      </c>
      <c r="BK225" s="115">
        <f>ROUND($L$225*$K$225,2)</f>
        <v>0</v>
      </c>
      <c r="BL225" s="6" t="s">
        <v>271</v>
      </c>
      <c r="BM225" s="6" t="s">
        <v>315</v>
      </c>
    </row>
    <row r="226" spans="2:63" s="98" customFormat="1" ht="30.75" customHeight="1">
      <c r="B226" s="99"/>
      <c r="D226" s="107" t="s">
        <v>100</v>
      </c>
      <c r="E226" s="107"/>
      <c r="F226" s="107"/>
      <c r="G226" s="107"/>
      <c r="H226" s="107"/>
      <c r="I226" s="107"/>
      <c r="J226" s="107"/>
      <c r="K226" s="107"/>
      <c r="L226" s="107"/>
      <c r="M226" s="107"/>
      <c r="N226" s="202">
        <f>$BK$226</f>
        <v>0</v>
      </c>
      <c r="O226" s="203"/>
      <c r="P226" s="203"/>
      <c r="Q226" s="203"/>
      <c r="R226" s="102"/>
      <c r="T226" s="103"/>
      <c r="W226" s="104">
        <f>SUM($W$227:$W$234)</f>
        <v>42.659734</v>
      </c>
      <c r="Y226" s="104">
        <f>SUM($Y$227:$Y$234)</f>
        <v>0.34271995</v>
      </c>
      <c r="AA226" s="105">
        <f>SUM($AA$227:$AA$234)</f>
        <v>0.20191262</v>
      </c>
      <c r="AR226" s="101" t="s">
        <v>82</v>
      </c>
      <c r="AT226" s="101" t="s">
        <v>71</v>
      </c>
      <c r="AU226" s="101" t="s">
        <v>17</v>
      </c>
      <c r="AY226" s="101" t="s">
        <v>122</v>
      </c>
      <c r="BK226" s="106">
        <f>SUM($BK$227:$BK$234)</f>
        <v>0</v>
      </c>
    </row>
    <row r="227" spans="2:65" s="6" customFormat="1" ht="39" customHeight="1">
      <c r="B227" s="19"/>
      <c r="C227" s="108" t="s">
        <v>316</v>
      </c>
      <c r="D227" s="108" t="s">
        <v>124</v>
      </c>
      <c r="E227" s="109" t="s">
        <v>317</v>
      </c>
      <c r="F227" s="190" t="s">
        <v>318</v>
      </c>
      <c r="G227" s="191"/>
      <c r="H227" s="191"/>
      <c r="I227" s="191"/>
      <c r="J227" s="110" t="s">
        <v>127</v>
      </c>
      <c r="K227" s="111">
        <v>75.907</v>
      </c>
      <c r="L227" s="192"/>
      <c r="M227" s="191"/>
      <c r="N227" s="192">
        <f>ROUND($L$227*$K$227,2)</f>
        <v>0</v>
      </c>
      <c r="O227" s="191"/>
      <c r="P227" s="191"/>
      <c r="Q227" s="191"/>
      <c r="R227" s="20"/>
      <c r="T227" s="112"/>
      <c r="U227" s="26" t="s">
        <v>37</v>
      </c>
      <c r="V227" s="113">
        <v>0.44</v>
      </c>
      <c r="W227" s="113">
        <f>$V$227*$K$227</f>
        <v>33.39908</v>
      </c>
      <c r="X227" s="113">
        <v>0.00095</v>
      </c>
      <c r="Y227" s="113">
        <f>$X$227*$K$227</f>
        <v>0.07211165</v>
      </c>
      <c r="Z227" s="113">
        <v>0</v>
      </c>
      <c r="AA227" s="114">
        <f>$Z$227*$K$227</f>
        <v>0</v>
      </c>
      <c r="AR227" s="6" t="s">
        <v>271</v>
      </c>
      <c r="AT227" s="6" t="s">
        <v>124</v>
      </c>
      <c r="AU227" s="6" t="s">
        <v>82</v>
      </c>
      <c r="AY227" s="6" t="s">
        <v>122</v>
      </c>
      <c r="BE227" s="115">
        <f>IF($U$227="základní",$N$227,0)</f>
        <v>0</v>
      </c>
      <c r="BF227" s="115">
        <f>IF($U$227="snížená",$N$227,0)</f>
        <v>0</v>
      </c>
      <c r="BG227" s="115">
        <f>IF($U$227="zákl. přenesená",$N$227,0)</f>
        <v>0</v>
      </c>
      <c r="BH227" s="115">
        <f>IF($U$227="sníž. přenesená",$N$227,0)</f>
        <v>0</v>
      </c>
      <c r="BI227" s="115">
        <f>IF($U$227="nulová",$N$227,0)</f>
        <v>0</v>
      </c>
      <c r="BJ227" s="6" t="s">
        <v>17</v>
      </c>
      <c r="BK227" s="115">
        <f>ROUND($L$227*$K$227,2)</f>
        <v>0</v>
      </c>
      <c r="BL227" s="6" t="s">
        <v>271</v>
      </c>
      <c r="BM227" s="6" t="s">
        <v>319</v>
      </c>
    </row>
    <row r="228" spans="2:51" s="6" customFormat="1" ht="18.75" customHeight="1">
      <c r="B228" s="116"/>
      <c r="E228" s="117"/>
      <c r="F228" s="193" t="s">
        <v>320</v>
      </c>
      <c r="G228" s="194"/>
      <c r="H228" s="194"/>
      <c r="I228" s="194"/>
      <c r="K228" s="118">
        <v>75.907</v>
      </c>
      <c r="R228" s="119"/>
      <c r="T228" s="120"/>
      <c r="AA228" s="121"/>
      <c r="AT228" s="117" t="s">
        <v>131</v>
      </c>
      <c r="AU228" s="117" t="s">
        <v>82</v>
      </c>
      <c r="AV228" s="117" t="s">
        <v>82</v>
      </c>
      <c r="AW228" s="117" t="s">
        <v>89</v>
      </c>
      <c r="AX228" s="117" t="s">
        <v>17</v>
      </c>
      <c r="AY228" s="117" t="s">
        <v>122</v>
      </c>
    </row>
    <row r="229" spans="2:65" s="6" customFormat="1" ht="27" customHeight="1">
      <c r="B229" s="19"/>
      <c r="C229" s="128" t="s">
        <v>321</v>
      </c>
      <c r="D229" s="128" t="s">
        <v>139</v>
      </c>
      <c r="E229" s="129" t="s">
        <v>322</v>
      </c>
      <c r="F229" s="197" t="s">
        <v>323</v>
      </c>
      <c r="G229" s="198"/>
      <c r="H229" s="198"/>
      <c r="I229" s="198"/>
      <c r="J229" s="130" t="s">
        <v>127</v>
      </c>
      <c r="K229" s="131">
        <v>87.293</v>
      </c>
      <c r="L229" s="199"/>
      <c r="M229" s="198"/>
      <c r="N229" s="199">
        <f>ROUND($L$229*$K$229,2)</f>
        <v>0</v>
      </c>
      <c r="O229" s="191"/>
      <c r="P229" s="191"/>
      <c r="Q229" s="191"/>
      <c r="R229" s="20"/>
      <c r="T229" s="112"/>
      <c r="U229" s="26" t="s">
        <v>37</v>
      </c>
      <c r="V229" s="113">
        <v>0</v>
      </c>
      <c r="W229" s="113">
        <f>$V$229*$K$229</f>
        <v>0</v>
      </c>
      <c r="X229" s="113">
        <v>0.0031</v>
      </c>
      <c r="Y229" s="113">
        <f>$X$229*$K$229</f>
        <v>0.2706083</v>
      </c>
      <c r="Z229" s="113">
        <v>0</v>
      </c>
      <c r="AA229" s="114">
        <f>$Z$229*$K$229</f>
        <v>0</v>
      </c>
      <c r="AR229" s="6" t="s">
        <v>146</v>
      </c>
      <c r="AT229" s="6" t="s">
        <v>139</v>
      </c>
      <c r="AU229" s="6" t="s">
        <v>82</v>
      </c>
      <c r="AY229" s="6" t="s">
        <v>122</v>
      </c>
      <c r="BE229" s="115">
        <f>IF($U$229="základní",$N$229,0)</f>
        <v>0</v>
      </c>
      <c r="BF229" s="115">
        <f>IF($U$229="snížená",$N$229,0)</f>
        <v>0</v>
      </c>
      <c r="BG229" s="115">
        <f>IF($U$229="zákl. přenesená",$N$229,0)</f>
        <v>0</v>
      </c>
      <c r="BH229" s="115">
        <f>IF($U$229="sníž. přenesená",$N$229,0)</f>
        <v>0</v>
      </c>
      <c r="BI229" s="115">
        <f>IF($U$229="nulová",$N$229,0)</f>
        <v>0</v>
      </c>
      <c r="BJ229" s="6" t="s">
        <v>17</v>
      </c>
      <c r="BK229" s="115">
        <f>ROUND($L$229*$K$229,2)</f>
        <v>0</v>
      </c>
      <c r="BL229" s="6" t="s">
        <v>271</v>
      </c>
      <c r="BM229" s="6" t="s">
        <v>324</v>
      </c>
    </row>
    <row r="230" spans="2:51" s="6" customFormat="1" ht="18.75" customHeight="1">
      <c r="B230" s="116"/>
      <c r="E230" s="117"/>
      <c r="F230" s="193" t="s">
        <v>325</v>
      </c>
      <c r="G230" s="194"/>
      <c r="H230" s="194"/>
      <c r="I230" s="194"/>
      <c r="K230" s="118">
        <v>87.293</v>
      </c>
      <c r="R230" s="119"/>
      <c r="T230" s="120"/>
      <c r="AA230" s="121"/>
      <c r="AT230" s="117" t="s">
        <v>131</v>
      </c>
      <c r="AU230" s="117" t="s">
        <v>82</v>
      </c>
      <c r="AV230" s="117" t="s">
        <v>82</v>
      </c>
      <c r="AW230" s="117" t="s">
        <v>89</v>
      </c>
      <c r="AX230" s="117" t="s">
        <v>17</v>
      </c>
      <c r="AY230" s="117" t="s">
        <v>122</v>
      </c>
    </row>
    <row r="231" spans="2:65" s="6" customFormat="1" ht="27" customHeight="1">
      <c r="B231" s="19"/>
      <c r="C231" s="108" t="s">
        <v>326</v>
      </c>
      <c r="D231" s="108" t="s">
        <v>124</v>
      </c>
      <c r="E231" s="109" t="s">
        <v>327</v>
      </c>
      <c r="F231" s="190" t="s">
        <v>328</v>
      </c>
      <c r="G231" s="191"/>
      <c r="H231" s="191"/>
      <c r="I231" s="191"/>
      <c r="J231" s="110" t="s">
        <v>127</v>
      </c>
      <c r="K231" s="111">
        <v>75.907</v>
      </c>
      <c r="L231" s="192"/>
      <c r="M231" s="191"/>
      <c r="N231" s="192">
        <f>ROUND($L$231*$K$231,2)</f>
        <v>0</v>
      </c>
      <c r="O231" s="191"/>
      <c r="P231" s="191"/>
      <c r="Q231" s="191"/>
      <c r="R231" s="20"/>
      <c r="T231" s="112"/>
      <c r="U231" s="26" t="s">
        <v>37</v>
      </c>
      <c r="V231" s="113">
        <v>0.122</v>
      </c>
      <c r="W231" s="113">
        <f>$V$231*$K$231</f>
        <v>9.260653999999999</v>
      </c>
      <c r="X231" s="113">
        <v>0</v>
      </c>
      <c r="Y231" s="113">
        <f>$X$231*$K$231</f>
        <v>0</v>
      </c>
      <c r="Z231" s="113">
        <v>0.00266</v>
      </c>
      <c r="AA231" s="114">
        <f>$Z$231*$K$231</f>
        <v>0.20191262</v>
      </c>
      <c r="AR231" s="6" t="s">
        <v>271</v>
      </c>
      <c r="AT231" s="6" t="s">
        <v>124</v>
      </c>
      <c r="AU231" s="6" t="s">
        <v>82</v>
      </c>
      <c r="AY231" s="6" t="s">
        <v>122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6" t="s">
        <v>17</v>
      </c>
      <c r="BK231" s="115">
        <f>ROUND($L$231*$K$231,2)</f>
        <v>0</v>
      </c>
      <c r="BL231" s="6" t="s">
        <v>271</v>
      </c>
      <c r="BM231" s="6" t="s">
        <v>329</v>
      </c>
    </row>
    <row r="232" spans="2:51" s="6" customFormat="1" ht="18.75" customHeight="1">
      <c r="B232" s="116"/>
      <c r="E232" s="117"/>
      <c r="F232" s="193" t="s">
        <v>330</v>
      </c>
      <c r="G232" s="194"/>
      <c r="H232" s="194"/>
      <c r="I232" s="194"/>
      <c r="K232" s="118">
        <v>75.907</v>
      </c>
      <c r="R232" s="119"/>
      <c r="T232" s="120"/>
      <c r="AA232" s="121"/>
      <c r="AT232" s="117" t="s">
        <v>131</v>
      </c>
      <c r="AU232" s="117" t="s">
        <v>82</v>
      </c>
      <c r="AV232" s="117" t="s">
        <v>82</v>
      </c>
      <c r="AW232" s="117" t="s">
        <v>89</v>
      </c>
      <c r="AX232" s="117" t="s">
        <v>17</v>
      </c>
      <c r="AY232" s="117" t="s">
        <v>122</v>
      </c>
    </row>
    <row r="233" spans="2:65" s="6" customFormat="1" ht="27" customHeight="1">
      <c r="B233" s="19"/>
      <c r="C233" s="108" t="s">
        <v>331</v>
      </c>
      <c r="D233" s="108" t="s">
        <v>124</v>
      </c>
      <c r="E233" s="109" t="s">
        <v>332</v>
      </c>
      <c r="F233" s="190" t="s">
        <v>333</v>
      </c>
      <c r="G233" s="191"/>
      <c r="H233" s="191"/>
      <c r="I233" s="191"/>
      <c r="J233" s="110" t="s">
        <v>287</v>
      </c>
      <c r="K233" s="111"/>
      <c r="L233" s="192"/>
      <c r="M233" s="191"/>
      <c r="N233" s="192">
        <f>ROUND($L$233*$K$233,2)</f>
        <v>0</v>
      </c>
      <c r="O233" s="191"/>
      <c r="P233" s="191"/>
      <c r="Q233" s="191"/>
      <c r="R233" s="20"/>
      <c r="T233" s="112"/>
      <c r="U233" s="26" t="s">
        <v>37</v>
      </c>
      <c r="V233" s="113">
        <v>0</v>
      </c>
      <c r="W233" s="113">
        <f>$V$233*$K$233</f>
        <v>0</v>
      </c>
      <c r="X233" s="113">
        <v>0</v>
      </c>
      <c r="Y233" s="113">
        <f>$X$233*$K$233</f>
        <v>0</v>
      </c>
      <c r="Z233" s="113">
        <v>0</v>
      </c>
      <c r="AA233" s="114">
        <f>$Z$233*$K$233</f>
        <v>0</v>
      </c>
      <c r="AR233" s="6" t="s">
        <v>271</v>
      </c>
      <c r="AT233" s="6" t="s">
        <v>124</v>
      </c>
      <c r="AU233" s="6" t="s">
        <v>82</v>
      </c>
      <c r="AY233" s="6" t="s">
        <v>122</v>
      </c>
      <c r="BE233" s="115">
        <f>IF($U$233="základní",$N$233,0)</f>
        <v>0</v>
      </c>
      <c r="BF233" s="115">
        <f>IF($U$233="snížená",$N$233,0)</f>
        <v>0</v>
      </c>
      <c r="BG233" s="115">
        <f>IF($U$233="zákl. přenesená",$N$233,0)</f>
        <v>0</v>
      </c>
      <c r="BH233" s="115">
        <f>IF($U$233="sníž. přenesená",$N$233,0)</f>
        <v>0</v>
      </c>
      <c r="BI233" s="115">
        <f>IF($U$233="nulová",$N$233,0)</f>
        <v>0</v>
      </c>
      <c r="BJ233" s="6" t="s">
        <v>17</v>
      </c>
      <c r="BK233" s="115">
        <f>ROUND($L$233*$K$233,2)</f>
        <v>0</v>
      </c>
      <c r="BL233" s="6" t="s">
        <v>271</v>
      </c>
      <c r="BM233" s="6" t="s">
        <v>334</v>
      </c>
    </row>
    <row r="234" spans="2:65" s="6" customFormat="1" ht="27" customHeight="1">
      <c r="B234" s="19"/>
      <c r="C234" s="108" t="s">
        <v>335</v>
      </c>
      <c r="D234" s="108" t="s">
        <v>124</v>
      </c>
      <c r="E234" s="109" t="s">
        <v>336</v>
      </c>
      <c r="F234" s="190" t="s">
        <v>337</v>
      </c>
      <c r="G234" s="191"/>
      <c r="H234" s="191"/>
      <c r="I234" s="191"/>
      <c r="J234" s="110" t="s">
        <v>287</v>
      </c>
      <c r="K234" s="111"/>
      <c r="L234" s="192"/>
      <c r="M234" s="191"/>
      <c r="N234" s="192">
        <f>ROUND($L$234*$K$234,2)</f>
        <v>0</v>
      </c>
      <c r="O234" s="191"/>
      <c r="P234" s="191"/>
      <c r="Q234" s="191"/>
      <c r="R234" s="20"/>
      <c r="T234" s="112"/>
      <c r="U234" s="26" t="s">
        <v>37</v>
      </c>
      <c r="V234" s="113">
        <v>0</v>
      </c>
      <c r="W234" s="113">
        <f>$V$234*$K$234</f>
        <v>0</v>
      </c>
      <c r="X234" s="113">
        <v>0</v>
      </c>
      <c r="Y234" s="113">
        <f>$X$234*$K$234</f>
        <v>0</v>
      </c>
      <c r="Z234" s="113">
        <v>0</v>
      </c>
      <c r="AA234" s="114">
        <f>$Z$234*$K$234</f>
        <v>0</v>
      </c>
      <c r="AR234" s="6" t="s">
        <v>271</v>
      </c>
      <c r="AT234" s="6" t="s">
        <v>124</v>
      </c>
      <c r="AU234" s="6" t="s">
        <v>82</v>
      </c>
      <c r="AY234" s="6" t="s">
        <v>122</v>
      </c>
      <c r="BE234" s="115">
        <f>IF($U$234="základní",$N$234,0)</f>
        <v>0</v>
      </c>
      <c r="BF234" s="115">
        <f>IF($U$234="snížená",$N$234,0)</f>
        <v>0</v>
      </c>
      <c r="BG234" s="115">
        <f>IF($U$234="zákl. přenesená",$N$234,0)</f>
        <v>0</v>
      </c>
      <c r="BH234" s="115">
        <f>IF($U$234="sníž. přenesená",$N$234,0)</f>
        <v>0</v>
      </c>
      <c r="BI234" s="115">
        <f>IF($U$234="nulová",$N$234,0)</f>
        <v>0</v>
      </c>
      <c r="BJ234" s="6" t="s">
        <v>17</v>
      </c>
      <c r="BK234" s="115">
        <f>ROUND($L$234*$K$234,2)</f>
        <v>0</v>
      </c>
      <c r="BL234" s="6" t="s">
        <v>271</v>
      </c>
      <c r="BM234" s="6" t="s">
        <v>338</v>
      </c>
    </row>
    <row r="235" spans="2:63" s="98" customFormat="1" ht="30.75" customHeight="1">
      <c r="B235" s="99"/>
      <c r="D235" s="107" t="s">
        <v>101</v>
      </c>
      <c r="E235" s="107"/>
      <c r="F235" s="107"/>
      <c r="G235" s="107"/>
      <c r="H235" s="107"/>
      <c r="I235" s="107"/>
      <c r="J235" s="107"/>
      <c r="K235" s="107"/>
      <c r="L235" s="107"/>
      <c r="M235" s="107"/>
      <c r="N235" s="202">
        <f>$BK$235</f>
        <v>0</v>
      </c>
      <c r="O235" s="203"/>
      <c r="P235" s="203"/>
      <c r="Q235" s="203"/>
      <c r="R235" s="102"/>
      <c r="T235" s="103"/>
      <c r="W235" s="104">
        <f>SUM($W$236:$W$248)</f>
        <v>739.0635</v>
      </c>
      <c r="Y235" s="104">
        <f>SUM($Y$236:$Y$248)</f>
        <v>0.3233732</v>
      </c>
      <c r="AA235" s="105">
        <f>SUM($AA$236:$AA$248)</f>
        <v>0.278</v>
      </c>
      <c r="AR235" s="101" t="s">
        <v>82</v>
      </c>
      <c r="AT235" s="101" t="s">
        <v>71</v>
      </c>
      <c r="AU235" s="101" t="s">
        <v>17</v>
      </c>
      <c r="AY235" s="101" t="s">
        <v>122</v>
      </c>
      <c r="BK235" s="106">
        <f>SUM($BK$236:$BK$248)</f>
        <v>0</v>
      </c>
    </row>
    <row r="236" spans="2:65" s="6" customFormat="1" ht="27" customHeight="1">
      <c r="B236" s="19"/>
      <c r="C236" s="108" t="s">
        <v>339</v>
      </c>
      <c r="D236" s="108" t="s">
        <v>124</v>
      </c>
      <c r="E236" s="109" t="s">
        <v>340</v>
      </c>
      <c r="F236" s="190" t="s">
        <v>341</v>
      </c>
      <c r="G236" s="191"/>
      <c r="H236" s="191"/>
      <c r="I236" s="191"/>
      <c r="J236" s="110" t="s">
        <v>342</v>
      </c>
      <c r="K236" s="111">
        <v>2159.47</v>
      </c>
      <c r="L236" s="192"/>
      <c r="M236" s="191"/>
      <c r="N236" s="192">
        <f>ROUND($L$236*$K$236,2)</f>
        <v>0</v>
      </c>
      <c r="O236" s="191"/>
      <c r="P236" s="191"/>
      <c r="Q236" s="191"/>
      <c r="R236" s="20"/>
      <c r="T236" s="112"/>
      <c r="U236" s="26" t="s">
        <v>37</v>
      </c>
      <c r="V236" s="113">
        <v>0.2</v>
      </c>
      <c r="W236" s="113">
        <f>$V$236*$K$236</f>
        <v>431.894</v>
      </c>
      <c r="X236" s="113">
        <v>6E-05</v>
      </c>
      <c r="Y236" s="113">
        <f>$X$236*$K$236</f>
        <v>0.1295682</v>
      </c>
      <c r="Z236" s="113">
        <v>0</v>
      </c>
      <c r="AA236" s="114">
        <f>$Z$236*$K$236</f>
        <v>0</v>
      </c>
      <c r="AR236" s="6" t="s">
        <v>271</v>
      </c>
      <c r="AT236" s="6" t="s">
        <v>124</v>
      </c>
      <c r="AU236" s="6" t="s">
        <v>82</v>
      </c>
      <c r="AY236" s="6" t="s">
        <v>122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6" t="s">
        <v>17</v>
      </c>
      <c r="BK236" s="115">
        <f>ROUND($L$236*$K$236,2)</f>
        <v>0</v>
      </c>
      <c r="BL236" s="6" t="s">
        <v>271</v>
      </c>
      <c r="BM236" s="6" t="s">
        <v>343</v>
      </c>
    </row>
    <row r="237" spans="2:51" s="6" customFormat="1" ht="18.75" customHeight="1">
      <c r="B237" s="116"/>
      <c r="E237" s="117"/>
      <c r="F237" s="193" t="s">
        <v>344</v>
      </c>
      <c r="G237" s="194"/>
      <c r="H237" s="194"/>
      <c r="I237" s="194"/>
      <c r="K237" s="118">
        <v>2159.47</v>
      </c>
      <c r="R237" s="119"/>
      <c r="T237" s="120"/>
      <c r="AA237" s="121"/>
      <c r="AT237" s="117" t="s">
        <v>131</v>
      </c>
      <c r="AU237" s="117" t="s">
        <v>82</v>
      </c>
      <c r="AV237" s="117" t="s">
        <v>82</v>
      </c>
      <c r="AW237" s="117" t="s">
        <v>89</v>
      </c>
      <c r="AX237" s="117" t="s">
        <v>17</v>
      </c>
      <c r="AY237" s="117" t="s">
        <v>122</v>
      </c>
    </row>
    <row r="238" spans="2:65" s="6" customFormat="1" ht="27" customHeight="1">
      <c r="B238" s="19"/>
      <c r="C238" s="108" t="s">
        <v>7</v>
      </c>
      <c r="D238" s="108" t="s">
        <v>124</v>
      </c>
      <c r="E238" s="109" t="s">
        <v>345</v>
      </c>
      <c r="F238" s="190" t="s">
        <v>346</v>
      </c>
      <c r="G238" s="191"/>
      <c r="H238" s="191"/>
      <c r="I238" s="191"/>
      <c r="J238" s="110" t="s">
        <v>347</v>
      </c>
      <c r="K238" s="111">
        <v>12</v>
      </c>
      <c r="L238" s="192"/>
      <c r="M238" s="191"/>
      <c r="N238" s="192">
        <f>ROUND($L$238*$K$238,2)</f>
        <v>0</v>
      </c>
      <c r="O238" s="191"/>
      <c r="P238" s="191"/>
      <c r="Q238" s="191"/>
      <c r="R238" s="20"/>
      <c r="T238" s="112"/>
      <c r="U238" s="26" t="s">
        <v>37</v>
      </c>
      <c r="V238" s="113">
        <v>0.134</v>
      </c>
      <c r="W238" s="113">
        <f>$V$238*$K$238</f>
        <v>1.608</v>
      </c>
      <c r="X238" s="113">
        <v>6E-05</v>
      </c>
      <c r="Y238" s="113">
        <f>$X$238*$K$238</f>
        <v>0.00072</v>
      </c>
      <c r="Z238" s="113">
        <v>0</v>
      </c>
      <c r="AA238" s="114">
        <f>$Z$238*$K$238</f>
        <v>0</v>
      </c>
      <c r="AR238" s="6" t="s">
        <v>271</v>
      </c>
      <c r="AT238" s="6" t="s">
        <v>124</v>
      </c>
      <c r="AU238" s="6" t="s">
        <v>82</v>
      </c>
      <c r="AY238" s="6" t="s">
        <v>122</v>
      </c>
      <c r="BE238" s="115">
        <f>IF($U$238="základní",$N$238,0)</f>
        <v>0</v>
      </c>
      <c r="BF238" s="115">
        <f>IF($U$238="snížená",$N$238,0)</f>
        <v>0</v>
      </c>
      <c r="BG238" s="115">
        <f>IF($U$238="zákl. přenesená",$N$238,0)</f>
        <v>0</v>
      </c>
      <c r="BH238" s="115">
        <f>IF($U$238="sníž. přenesená",$N$238,0)</f>
        <v>0</v>
      </c>
      <c r="BI238" s="115">
        <f>IF($U$238="nulová",$N$238,0)</f>
        <v>0</v>
      </c>
      <c r="BJ238" s="6" t="s">
        <v>17</v>
      </c>
      <c r="BK238" s="115">
        <f>ROUND($L$238*$K$238,2)</f>
        <v>0</v>
      </c>
      <c r="BL238" s="6" t="s">
        <v>271</v>
      </c>
      <c r="BM238" s="6" t="s">
        <v>348</v>
      </c>
    </row>
    <row r="239" spans="2:51" s="6" customFormat="1" ht="32.25" customHeight="1">
      <c r="B239" s="116"/>
      <c r="E239" s="117"/>
      <c r="F239" s="193" t="s">
        <v>349</v>
      </c>
      <c r="G239" s="194"/>
      <c r="H239" s="194"/>
      <c r="I239" s="194"/>
      <c r="K239" s="118">
        <v>12</v>
      </c>
      <c r="R239" s="119"/>
      <c r="T239" s="120"/>
      <c r="AA239" s="121"/>
      <c r="AT239" s="117" t="s">
        <v>131</v>
      </c>
      <c r="AU239" s="117" t="s">
        <v>82</v>
      </c>
      <c r="AV239" s="117" t="s">
        <v>82</v>
      </c>
      <c r="AW239" s="117" t="s">
        <v>89</v>
      </c>
      <c r="AX239" s="117" t="s">
        <v>17</v>
      </c>
      <c r="AY239" s="117" t="s">
        <v>122</v>
      </c>
    </row>
    <row r="240" spans="2:65" s="6" customFormat="1" ht="27" customHeight="1">
      <c r="B240" s="19"/>
      <c r="C240" s="108" t="s">
        <v>350</v>
      </c>
      <c r="D240" s="108" t="s">
        <v>124</v>
      </c>
      <c r="E240" s="109" t="s">
        <v>351</v>
      </c>
      <c r="F240" s="190" t="s">
        <v>352</v>
      </c>
      <c r="G240" s="191"/>
      <c r="H240" s="191"/>
      <c r="I240" s="191"/>
      <c r="J240" s="110" t="s">
        <v>347</v>
      </c>
      <c r="K240" s="111">
        <v>2</v>
      </c>
      <c r="L240" s="192"/>
      <c r="M240" s="191"/>
      <c r="N240" s="192">
        <f>ROUND($L$240*$K$240,2)</f>
        <v>0</v>
      </c>
      <c r="O240" s="191"/>
      <c r="P240" s="191"/>
      <c r="Q240" s="191"/>
      <c r="R240" s="20"/>
      <c r="T240" s="112"/>
      <c r="U240" s="26" t="s">
        <v>37</v>
      </c>
      <c r="V240" s="113">
        <v>0.134</v>
      </c>
      <c r="W240" s="113">
        <f>$V$240*$K$240</f>
        <v>0.268</v>
      </c>
      <c r="X240" s="113">
        <v>6E-05</v>
      </c>
      <c r="Y240" s="113">
        <f>$X$240*$K$240</f>
        <v>0.00012</v>
      </c>
      <c r="Z240" s="113">
        <v>0</v>
      </c>
      <c r="AA240" s="114">
        <f>$Z$240*$K$240</f>
        <v>0</v>
      </c>
      <c r="AR240" s="6" t="s">
        <v>271</v>
      </c>
      <c r="AT240" s="6" t="s">
        <v>124</v>
      </c>
      <c r="AU240" s="6" t="s">
        <v>82</v>
      </c>
      <c r="AY240" s="6" t="s">
        <v>122</v>
      </c>
      <c r="BE240" s="115">
        <f>IF($U$240="základní",$N$240,0)</f>
        <v>0</v>
      </c>
      <c r="BF240" s="115">
        <f>IF($U$240="snížená",$N$240,0)</f>
        <v>0</v>
      </c>
      <c r="BG240" s="115">
        <f>IF($U$240="zákl. přenesená",$N$240,0)</f>
        <v>0</v>
      </c>
      <c r="BH240" s="115">
        <f>IF($U$240="sníž. přenesená",$N$240,0)</f>
        <v>0</v>
      </c>
      <c r="BI240" s="115">
        <f>IF($U$240="nulová",$N$240,0)</f>
        <v>0</v>
      </c>
      <c r="BJ240" s="6" t="s">
        <v>17</v>
      </c>
      <c r="BK240" s="115">
        <f>ROUND($L$240*$K$240,2)</f>
        <v>0</v>
      </c>
      <c r="BL240" s="6" t="s">
        <v>271</v>
      </c>
      <c r="BM240" s="6" t="s">
        <v>353</v>
      </c>
    </row>
    <row r="241" spans="2:51" s="6" customFormat="1" ht="32.25" customHeight="1">
      <c r="B241" s="116"/>
      <c r="E241" s="117"/>
      <c r="F241" s="193" t="s">
        <v>354</v>
      </c>
      <c r="G241" s="194"/>
      <c r="H241" s="194"/>
      <c r="I241" s="194"/>
      <c r="K241" s="118">
        <v>2</v>
      </c>
      <c r="R241" s="119"/>
      <c r="T241" s="120"/>
      <c r="AA241" s="121"/>
      <c r="AT241" s="117" t="s">
        <v>131</v>
      </c>
      <c r="AU241" s="117" t="s">
        <v>82</v>
      </c>
      <c r="AV241" s="117" t="s">
        <v>82</v>
      </c>
      <c r="AW241" s="117" t="s">
        <v>89</v>
      </c>
      <c r="AX241" s="117" t="s">
        <v>17</v>
      </c>
      <c r="AY241" s="117" t="s">
        <v>122</v>
      </c>
    </row>
    <row r="242" spans="2:65" s="6" customFormat="1" ht="27" customHeight="1">
      <c r="B242" s="19"/>
      <c r="C242" s="108" t="s">
        <v>355</v>
      </c>
      <c r="D242" s="108" t="s">
        <v>124</v>
      </c>
      <c r="E242" s="109" t="s">
        <v>356</v>
      </c>
      <c r="F242" s="190" t="s">
        <v>357</v>
      </c>
      <c r="G242" s="191"/>
      <c r="H242" s="191"/>
      <c r="I242" s="191"/>
      <c r="J242" s="110" t="s">
        <v>342</v>
      </c>
      <c r="K242" s="111">
        <v>3859.3</v>
      </c>
      <c r="L242" s="192"/>
      <c r="M242" s="191"/>
      <c r="N242" s="192">
        <f>ROUND($L$242*$K$242,2)</f>
        <v>0</v>
      </c>
      <c r="O242" s="191"/>
      <c r="P242" s="191"/>
      <c r="Q242" s="191"/>
      <c r="R242" s="20"/>
      <c r="T242" s="112"/>
      <c r="U242" s="26" t="s">
        <v>37</v>
      </c>
      <c r="V242" s="113">
        <v>0.075</v>
      </c>
      <c r="W242" s="113">
        <f>$V$242*$K$242</f>
        <v>289.4475</v>
      </c>
      <c r="X242" s="113">
        <v>5E-05</v>
      </c>
      <c r="Y242" s="113">
        <f>$X$242*$K$242</f>
        <v>0.19296500000000003</v>
      </c>
      <c r="Z242" s="113">
        <v>0</v>
      </c>
      <c r="AA242" s="114">
        <f>$Z$242*$K$242</f>
        <v>0</v>
      </c>
      <c r="AR242" s="6" t="s">
        <v>271</v>
      </c>
      <c r="AT242" s="6" t="s">
        <v>124</v>
      </c>
      <c r="AU242" s="6" t="s">
        <v>82</v>
      </c>
      <c r="AY242" s="6" t="s">
        <v>122</v>
      </c>
      <c r="BE242" s="115">
        <f>IF($U$242="základní",$N$242,0)</f>
        <v>0</v>
      </c>
      <c r="BF242" s="115">
        <f>IF($U$242="snížená",$N$242,0)</f>
        <v>0</v>
      </c>
      <c r="BG242" s="115">
        <f>IF($U$242="zákl. přenesená",$N$242,0)</f>
        <v>0</v>
      </c>
      <c r="BH242" s="115">
        <f>IF($U$242="sníž. přenesená",$N$242,0)</f>
        <v>0</v>
      </c>
      <c r="BI242" s="115">
        <f>IF($U$242="nulová",$N$242,0)</f>
        <v>0</v>
      </c>
      <c r="BJ242" s="6" t="s">
        <v>17</v>
      </c>
      <c r="BK242" s="115">
        <f>ROUND($L$242*$K$242,2)</f>
        <v>0</v>
      </c>
      <c r="BL242" s="6" t="s">
        <v>271</v>
      </c>
      <c r="BM242" s="6" t="s">
        <v>358</v>
      </c>
    </row>
    <row r="243" spans="2:51" s="6" customFormat="1" ht="18.75" customHeight="1">
      <c r="B243" s="116"/>
      <c r="E243" s="117"/>
      <c r="F243" s="193" t="s">
        <v>359</v>
      </c>
      <c r="G243" s="194"/>
      <c r="H243" s="194"/>
      <c r="I243" s="194"/>
      <c r="K243" s="118">
        <v>3859.3</v>
      </c>
      <c r="R243" s="119"/>
      <c r="T243" s="120"/>
      <c r="AA243" s="121"/>
      <c r="AT243" s="117" t="s">
        <v>131</v>
      </c>
      <c r="AU243" s="117" t="s">
        <v>82</v>
      </c>
      <c r="AV243" s="117" t="s">
        <v>82</v>
      </c>
      <c r="AW243" s="117" t="s">
        <v>89</v>
      </c>
      <c r="AX243" s="117" t="s">
        <v>17</v>
      </c>
      <c r="AY243" s="117" t="s">
        <v>122</v>
      </c>
    </row>
    <row r="244" spans="2:65" s="6" customFormat="1" ht="15.75" customHeight="1">
      <c r="B244" s="19"/>
      <c r="C244" s="108" t="s">
        <v>360</v>
      </c>
      <c r="D244" s="108" t="s">
        <v>124</v>
      </c>
      <c r="E244" s="109" t="s">
        <v>361</v>
      </c>
      <c r="F244" s="190" t="s">
        <v>362</v>
      </c>
      <c r="G244" s="191"/>
      <c r="H244" s="191"/>
      <c r="I244" s="191"/>
      <c r="J244" s="110" t="s">
        <v>363</v>
      </c>
      <c r="K244" s="111">
        <v>1</v>
      </c>
      <c r="L244" s="192"/>
      <c r="M244" s="191"/>
      <c r="N244" s="192">
        <f>ROUND($L$244*$K$244,2)</f>
        <v>0</v>
      </c>
      <c r="O244" s="191"/>
      <c r="P244" s="191"/>
      <c r="Q244" s="191"/>
      <c r="R244" s="20"/>
      <c r="T244" s="112"/>
      <c r="U244" s="26" t="s">
        <v>37</v>
      </c>
      <c r="V244" s="113">
        <v>0</v>
      </c>
      <c r="W244" s="113">
        <f>$V$244*$K$244</f>
        <v>0</v>
      </c>
      <c r="X244" s="113">
        <v>0</v>
      </c>
      <c r="Y244" s="113">
        <f>$X$244*$K$244</f>
        <v>0</v>
      </c>
      <c r="Z244" s="113">
        <v>0</v>
      </c>
      <c r="AA244" s="114">
        <f>$Z$244*$K$244</f>
        <v>0</v>
      </c>
      <c r="AR244" s="6" t="s">
        <v>271</v>
      </c>
      <c r="AT244" s="6" t="s">
        <v>124</v>
      </c>
      <c r="AU244" s="6" t="s">
        <v>82</v>
      </c>
      <c r="AY244" s="6" t="s">
        <v>122</v>
      </c>
      <c r="BE244" s="115">
        <f>IF($U$244="základní",$N$244,0)</f>
        <v>0</v>
      </c>
      <c r="BF244" s="115">
        <f>IF($U$244="snížená",$N$244,0)</f>
        <v>0</v>
      </c>
      <c r="BG244" s="115">
        <f>IF($U$244="zákl. přenesená",$N$244,0)</f>
        <v>0</v>
      </c>
      <c r="BH244" s="115">
        <f>IF($U$244="sníž. přenesená",$N$244,0)</f>
        <v>0</v>
      </c>
      <c r="BI244" s="115">
        <f>IF($U$244="nulová",$N$244,0)</f>
        <v>0</v>
      </c>
      <c r="BJ244" s="6" t="s">
        <v>17</v>
      </c>
      <c r="BK244" s="115">
        <f>ROUND($L$244*$K$244,2)</f>
        <v>0</v>
      </c>
      <c r="BL244" s="6" t="s">
        <v>271</v>
      </c>
      <c r="BM244" s="6" t="s">
        <v>364</v>
      </c>
    </row>
    <row r="245" spans="2:65" s="6" customFormat="1" ht="27" customHeight="1">
      <c r="B245" s="19"/>
      <c r="C245" s="108" t="s">
        <v>271</v>
      </c>
      <c r="D245" s="108" t="s">
        <v>124</v>
      </c>
      <c r="E245" s="109" t="s">
        <v>365</v>
      </c>
      <c r="F245" s="190" t="s">
        <v>366</v>
      </c>
      <c r="G245" s="191"/>
      <c r="H245" s="191"/>
      <c r="I245" s="191"/>
      <c r="J245" s="110" t="s">
        <v>127</v>
      </c>
      <c r="K245" s="111">
        <v>278</v>
      </c>
      <c r="L245" s="192"/>
      <c r="M245" s="191"/>
      <c r="N245" s="192">
        <f>ROUND($L$245*$K$245,2)</f>
        <v>0</v>
      </c>
      <c r="O245" s="191"/>
      <c r="P245" s="191"/>
      <c r="Q245" s="191"/>
      <c r="R245" s="20"/>
      <c r="T245" s="112"/>
      <c r="U245" s="26" t="s">
        <v>37</v>
      </c>
      <c r="V245" s="113">
        <v>0.057</v>
      </c>
      <c r="W245" s="113">
        <f>$V$245*$K$245</f>
        <v>15.846</v>
      </c>
      <c r="X245" s="113">
        <v>0</v>
      </c>
      <c r="Y245" s="113">
        <f>$X$245*$K$245</f>
        <v>0</v>
      </c>
      <c r="Z245" s="113">
        <v>0.001</v>
      </c>
      <c r="AA245" s="114">
        <f>$Z$245*$K$245</f>
        <v>0.278</v>
      </c>
      <c r="AR245" s="6" t="s">
        <v>271</v>
      </c>
      <c r="AT245" s="6" t="s">
        <v>124</v>
      </c>
      <c r="AU245" s="6" t="s">
        <v>82</v>
      </c>
      <c r="AY245" s="6" t="s">
        <v>122</v>
      </c>
      <c r="BE245" s="115">
        <f>IF($U$245="základní",$N$245,0)</f>
        <v>0</v>
      </c>
      <c r="BF245" s="115">
        <f>IF($U$245="snížená",$N$245,0)</f>
        <v>0</v>
      </c>
      <c r="BG245" s="115">
        <f>IF($U$245="zákl. přenesená",$N$245,0)</f>
        <v>0</v>
      </c>
      <c r="BH245" s="115">
        <f>IF($U$245="sníž. přenesená",$N$245,0)</f>
        <v>0</v>
      </c>
      <c r="BI245" s="115">
        <f>IF($U$245="nulová",$N$245,0)</f>
        <v>0</v>
      </c>
      <c r="BJ245" s="6" t="s">
        <v>17</v>
      </c>
      <c r="BK245" s="115">
        <f>ROUND($L$245*$K$245,2)</f>
        <v>0</v>
      </c>
      <c r="BL245" s="6" t="s">
        <v>271</v>
      </c>
      <c r="BM245" s="6" t="s">
        <v>367</v>
      </c>
    </row>
    <row r="246" spans="2:51" s="6" customFormat="1" ht="32.25" customHeight="1">
      <c r="B246" s="116"/>
      <c r="E246" s="117"/>
      <c r="F246" s="193" t="s">
        <v>368</v>
      </c>
      <c r="G246" s="194"/>
      <c r="H246" s="194"/>
      <c r="I246" s="194"/>
      <c r="K246" s="118">
        <v>278</v>
      </c>
      <c r="R246" s="119"/>
      <c r="T246" s="120"/>
      <c r="AA246" s="121"/>
      <c r="AT246" s="117" t="s">
        <v>131</v>
      </c>
      <c r="AU246" s="117" t="s">
        <v>82</v>
      </c>
      <c r="AV246" s="117" t="s">
        <v>82</v>
      </c>
      <c r="AW246" s="117" t="s">
        <v>89</v>
      </c>
      <c r="AX246" s="117" t="s">
        <v>17</v>
      </c>
      <c r="AY246" s="117" t="s">
        <v>122</v>
      </c>
    </row>
    <row r="247" spans="2:65" s="6" customFormat="1" ht="27" customHeight="1">
      <c r="B247" s="19"/>
      <c r="C247" s="108" t="s">
        <v>369</v>
      </c>
      <c r="D247" s="108" t="s">
        <v>124</v>
      </c>
      <c r="E247" s="109" t="s">
        <v>370</v>
      </c>
      <c r="F247" s="190" t="s">
        <v>371</v>
      </c>
      <c r="G247" s="191"/>
      <c r="H247" s="191"/>
      <c r="I247" s="191"/>
      <c r="J247" s="110" t="s">
        <v>287</v>
      </c>
      <c r="K247" s="111"/>
      <c r="L247" s="192"/>
      <c r="M247" s="191"/>
      <c r="N247" s="192">
        <f>ROUND($L$247*$K$247,2)</f>
        <v>0</v>
      </c>
      <c r="O247" s="191"/>
      <c r="P247" s="191"/>
      <c r="Q247" s="191"/>
      <c r="R247" s="20"/>
      <c r="T247" s="112"/>
      <c r="U247" s="26" t="s">
        <v>37</v>
      </c>
      <c r="V247" s="113">
        <v>0</v>
      </c>
      <c r="W247" s="113">
        <f>$V$247*$K$247</f>
        <v>0</v>
      </c>
      <c r="X247" s="113">
        <v>0</v>
      </c>
      <c r="Y247" s="113">
        <f>$X$247*$K$247</f>
        <v>0</v>
      </c>
      <c r="Z247" s="113">
        <v>0</v>
      </c>
      <c r="AA247" s="114">
        <f>$Z$247*$K$247</f>
        <v>0</v>
      </c>
      <c r="AR247" s="6" t="s">
        <v>271</v>
      </c>
      <c r="AT247" s="6" t="s">
        <v>124</v>
      </c>
      <c r="AU247" s="6" t="s">
        <v>82</v>
      </c>
      <c r="AY247" s="6" t="s">
        <v>122</v>
      </c>
      <c r="BE247" s="115">
        <f>IF($U$247="základní",$N$247,0)</f>
        <v>0</v>
      </c>
      <c r="BF247" s="115">
        <f>IF($U$247="snížená",$N$247,0)</f>
        <v>0</v>
      </c>
      <c r="BG247" s="115">
        <f>IF($U$247="zákl. přenesená",$N$247,0)</f>
        <v>0</v>
      </c>
      <c r="BH247" s="115">
        <f>IF($U$247="sníž. přenesená",$N$247,0)</f>
        <v>0</v>
      </c>
      <c r="BI247" s="115">
        <f>IF($U$247="nulová",$N$247,0)</f>
        <v>0</v>
      </c>
      <c r="BJ247" s="6" t="s">
        <v>17</v>
      </c>
      <c r="BK247" s="115">
        <f>ROUND($L$247*$K$247,2)</f>
        <v>0</v>
      </c>
      <c r="BL247" s="6" t="s">
        <v>271</v>
      </c>
      <c r="BM247" s="6" t="s">
        <v>372</v>
      </c>
    </row>
    <row r="248" spans="2:65" s="6" customFormat="1" ht="27" customHeight="1">
      <c r="B248" s="19"/>
      <c r="C248" s="108" t="s">
        <v>373</v>
      </c>
      <c r="D248" s="108" t="s">
        <v>124</v>
      </c>
      <c r="E248" s="109" t="s">
        <v>374</v>
      </c>
      <c r="F248" s="190" t="s">
        <v>375</v>
      </c>
      <c r="G248" s="191"/>
      <c r="H248" s="191"/>
      <c r="I248" s="191"/>
      <c r="J248" s="110" t="s">
        <v>287</v>
      </c>
      <c r="K248" s="111"/>
      <c r="L248" s="192"/>
      <c r="M248" s="191"/>
      <c r="N248" s="192">
        <f>ROUND($L$248*$K$248,2)</f>
        <v>0</v>
      </c>
      <c r="O248" s="191"/>
      <c r="P248" s="191"/>
      <c r="Q248" s="191"/>
      <c r="R248" s="20"/>
      <c r="T248" s="112"/>
      <c r="U248" s="26" t="s">
        <v>37</v>
      </c>
      <c r="V248" s="113">
        <v>0</v>
      </c>
      <c r="W248" s="113">
        <f>$V$248*$K$248</f>
        <v>0</v>
      </c>
      <c r="X248" s="113">
        <v>0</v>
      </c>
      <c r="Y248" s="113">
        <f>$X$248*$K$248</f>
        <v>0</v>
      </c>
      <c r="Z248" s="113">
        <v>0</v>
      </c>
      <c r="AA248" s="114">
        <f>$Z$248*$K$248</f>
        <v>0</v>
      </c>
      <c r="AR248" s="6" t="s">
        <v>271</v>
      </c>
      <c r="AT248" s="6" t="s">
        <v>124</v>
      </c>
      <c r="AU248" s="6" t="s">
        <v>82</v>
      </c>
      <c r="AY248" s="6" t="s">
        <v>122</v>
      </c>
      <c r="BE248" s="115">
        <f>IF($U$248="základní",$N$248,0)</f>
        <v>0</v>
      </c>
      <c r="BF248" s="115">
        <f>IF($U$248="snížená",$N$248,0)</f>
        <v>0</v>
      </c>
      <c r="BG248" s="115">
        <f>IF($U$248="zákl. přenesená",$N$248,0)</f>
        <v>0</v>
      </c>
      <c r="BH248" s="115">
        <f>IF($U$248="sníž. přenesená",$N$248,0)</f>
        <v>0</v>
      </c>
      <c r="BI248" s="115">
        <f>IF($U$248="nulová",$N$248,0)</f>
        <v>0</v>
      </c>
      <c r="BJ248" s="6" t="s">
        <v>17</v>
      </c>
      <c r="BK248" s="115">
        <f>ROUND($L$248*$K$248,2)</f>
        <v>0</v>
      </c>
      <c r="BL248" s="6" t="s">
        <v>271</v>
      </c>
      <c r="BM248" s="6" t="s">
        <v>376</v>
      </c>
    </row>
    <row r="249" spans="2:63" s="98" customFormat="1" ht="30.75" customHeight="1">
      <c r="B249" s="99"/>
      <c r="D249" s="107" t="s">
        <v>102</v>
      </c>
      <c r="E249" s="107"/>
      <c r="F249" s="107"/>
      <c r="G249" s="107"/>
      <c r="H249" s="107"/>
      <c r="I249" s="107"/>
      <c r="J249" s="107"/>
      <c r="K249" s="107"/>
      <c r="L249" s="107"/>
      <c r="M249" s="107"/>
      <c r="N249" s="202">
        <f>$BK$249</f>
        <v>0</v>
      </c>
      <c r="O249" s="203"/>
      <c r="P249" s="203"/>
      <c r="Q249" s="203"/>
      <c r="R249" s="102"/>
      <c r="T249" s="103"/>
      <c r="W249" s="104">
        <f>SUM($W$250:$W$256)</f>
        <v>20.809907999999997</v>
      </c>
      <c r="Y249" s="104">
        <f>SUM($Y$250:$Y$256)</f>
        <v>0.01203294</v>
      </c>
      <c r="AA249" s="105">
        <f>SUM($AA$250:$AA$256)</f>
        <v>0</v>
      </c>
      <c r="AR249" s="101" t="s">
        <v>82</v>
      </c>
      <c r="AT249" s="101" t="s">
        <v>71</v>
      </c>
      <c r="AU249" s="101" t="s">
        <v>17</v>
      </c>
      <c r="AY249" s="101" t="s">
        <v>122</v>
      </c>
      <c r="BK249" s="106">
        <f>SUM($BK$250:$BK$256)</f>
        <v>0</v>
      </c>
    </row>
    <row r="250" spans="2:65" s="6" customFormat="1" ht="15.75" customHeight="1">
      <c r="B250" s="19"/>
      <c r="C250" s="108" t="s">
        <v>377</v>
      </c>
      <c r="D250" s="108" t="s">
        <v>124</v>
      </c>
      <c r="E250" s="109" t="s">
        <v>378</v>
      </c>
      <c r="F250" s="190" t="s">
        <v>379</v>
      </c>
      <c r="G250" s="191"/>
      <c r="H250" s="191"/>
      <c r="I250" s="191"/>
      <c r="J250" s="110" t="s">
        <v>127</v>
      </c>
      <c r="K250" s="111">
        <v>70.782</v>
      </c>
      <c r="L250" s="192"/>
      <c r="M250" s="191"/>
      <c r="N250" s="192">
        <f>ROUND($L$250*$K$250,2)</f>
        <v>0</v>
      </c>
      <c r="O250" s="191"/>
      <c r="P250" s="191"/>
      <c r="Q250" s="191"/>
      <c r="R250" s="20"/>
      <c r="T250" s="112"/>
      <c r="U250" s="26" t="s">
        <v>37</v>
      </c>
      <c r="V250" s="113">
        <v>0.294</v>
      </c>
      <c r="W250" s="113">
        <f>$V$250*$K$250</f>
        <v>20.809907999999997</v>
      </c>
      <c r="X250" s="113">
        <v>0.00017</v>
      </c>
      <c r="Y250" s="113">
        <f>$X$250*$K$250</f>
        <v>0.01203294</v>
      </c>
      <c r="Z250" s="113">
        <v>0</v>
      </c>
      <c r="AA250" s="114">
        <f>$Z$250*$K$250</f>
        <v>0</v>
      </c>
      <c r="AR250" s="6" t="s">
        <v>271</v>
      </c>
      <c r="AT250" s="6" t="s">
        <v>124</v>
      </c>
      <c r="AU250" s="6" t="s">
        <v>82</v>
      </c>
      <c r="AY250" s="6" t="s">
        <v>122</v>
      </c>
      <c r="BE250" s="115">
        <f>IF($U$250="základní",$N$250,0)</f>
        <v>0</v>
      </c>
      <c r="BF250" s="115">
        <f>IF($U$250="snížená",$N$250,0)</f>
        <v>0</v>
      </c>
      <c r="BG250" s="115">
        <f>IF($U$250="zákl. přenesená",$N$250,0)</f>
        <v>0</v>
      </c>
      <c r="BH250" s="115">
        <f>IF($U$250="sníž. přenesená",$N$250,0)</f>
        <v>0</v>
      </c>
      <c r="BI250" s="115">
        <f>IF($U$250="nulová",$N$250,0)</f>
        <v>0</v>
      </c>
      <c r="BJ250" s="6" t="s">
        <v>17</v>
      </c>
      <c r="BK250" s="115">
        <f>ROUND($L$250*$K$250,2)</f>
        <v>0</v>
      </c>
      <c r="BL250" s="6" t="s">
        <v>271</v>
      </c>
      <c r="BM250" s="6" t="s">
        <v>380</v>
      </c>
    </row>
    <row r="251" spans="2:51" s="6" customFormat="1" ht="32.25" customHeight="1">
      <c r="B251" s="132"/>
      <c r="E251" s="133"/>
      <c r="F251" s="200" t="s">
        <v>381</v>
      </c>
      <c r="G251" s="201"/>
      <c r="H251" s="201"/>
      <c r="I251" s="201"/>
      <c r="K251" s="133"/>
      <c r="R251" s="134"/>
      <c r="T251" s="135"/>
      <c r="AA251" s="136"/>
      <c r="AT251" s="133" t="s">
        <v>131</v>
      </c>
      <c r="AU251" s="133" t="s">
        <v>82</v>
      </c>
      <c r="AV251" s="133" t="s">
        <v>17</v>
      </c>
      <c r="AW251" s="133" t="s">
        <v>89</v>
      </c>
      <c r="AX251" s="133" t="s">
        <v>72</v>
      </c>
      <c r="AY251" s="133" t="s">
        <v>122</v>
      </c>
    </row>
    <row r="252" spans="2:51" s="6" customFormat="1" ht="18.75" customHeight="1">
      <c r="B252" s="116"/>
      <c r="E252" s="117"/>
      <c r="F252" s="193" t="s">
        <v>382</v>
      </c>
      <c r="G252" s="194"/>
      <c r="H252" s="194"/>
      <c r="I252" s="194"/>
      <c r="K252" s="118">
        <v>11.574</v>
      </c>
      <c r="R252" s="119"/>
      <c r="T252" s="120"/>
      <c r="AA252" s="121"/>
      <c r="AT252" s="117" t="s">
        <v>131</v>
      </c>
      <c r="AU252" s="117" t="s">
        <v>82</v>
      </c>
      <c r="AV252" s="117" t="s">
        <v>82</v>
      </c>
      <c r="AW252" s="117" t="s">
        <v>89</v>
      </c>
      <c r="AX252" s="117" t="s">
        <v>72</v>
      </c>
      <c r="AY252" s="117" t="s">
        <v>122</v>
      </c>
    </row>
    <row r="253" spans="2:51" s="6" customFormat="1" ht="18.75" customHeight="1">
      <c r="B253" s="116"/>
      <c r="E253" s="117"/>
      <c r="F253" s="193" t="s">
        <v>383</v>
      </c>
      <c r="G253" s="194"/>
      <c r="H253" s="194"/>
      <c r="I253" s="194"/>
      <c r="K253" s="118">
        <v>27</v>
      </c>
      <c r="R253" s="119"/>
      <c r="T253" s="120"/>
      <c r="AA253" s="121"/>
      <c r="AT253" s="117" t="s">
        <v>131</v>
      </c>
      <c r="AU253" s="117" t="s">
        <v>82</v>
      </c>
      <c r="AV253" s="117" t="s">
        <v>82</v>
      </c>
      <c r="AW253" s="117" t="s">
        <v>89</v>
      </c>
      <c r="AX253" s="117" t="s">
        <v>72</v>
      </c>
      <c r="AY253" s="117" t="s">
        <v>122</v>
      </c>
    </row>
    <row r="254" spans="2:51" s="6" customFormat="1" ht="18.75" customHeight="1">
      <c r="B254" s="116"/>
      <c r="E254" s="117"/>
      <c r="F254" s="193" t="s">
        <v>384</v>
      </c>
      <c r="G254" s="194"/>
      <c r="H254" s="194"/>
      <c r="I254" s="194"/>
      <c r="K254" s="118">
        <v>10.368</v>
      </c>
      <c r="R254" s="119"/>
      <c r="T254" s="120"/>
      <c r="AA254" s="121"/>
      <c r="AT254" s="117" t="s">
        <v>131</v>
      </c>
      <c r="AU254" s="117" t="s">
        <v>82</v>
      </c>
      <c r="AV254" s="117" t="s">
        <v>82</v>
      </c>
      <c r="AW254" s="117" t="s">
        <v>89</v>
      </c>
      <c r="AX254" s="117" t="s">
        <v>72</v>
      </c>
      <c r="AY254" s="117" t="s">
        <v>122</v>
      </c>
    </row>
    <row r="255" spans="2:51" s="6" customFormat="1" ht="18.75" customHeight="1">
      <c r="B255" s="116"/>
      <c r="E255" s="117"/>
      <c r="F255" s="193" t="s">
        <v>385</v>
      </c>
      <c r="G255" s="194"/>
      <c r="H255" s="194"/>
      <c r="I255" s="194"/>
      <c r="K255" s="118">
        <v>21.84</v>
      </c>
      <c r="R255" s="119"/>
      <c r="T255" s="120"/>
      <c r="AA255" s="121"/>
      <c r="AT255" s="117" t="s">
        <v>131</v>
      </c>
      <c r="AU255" s="117" t="s">
        <v>82</v>
      </c>
      <c r="AV255" s="117" t="s">
        <v>82</v>
      </c>
      <c r="AW255" s="117" t="s">
        <v>89</v>
      </c>
      <c r="AX255" s="117" t="s">
        <v>72</v>
      </c>
      <c r="AY255" s="117" t="s">
        <v>122</v>
      </c>
    </row>
    <row r="256" spans="2:51" s="6" customFormat="1" ht="18.75" customHeight="1">
      <c r="B256" s="122"/>
      <c r="E256" s="123"/>
      <c r="F256" s="195" t="s">
        <v>137</v>
      </c>
      <c r="G256" s="196"/>
      <c r="H256" s="196"/>
      <c r="I256" s="196"/>
      <c r="K256" s="124">
        <v>70.782</v>
      </c>
      <c r="R256" s="125"/>
      <c r="T256" s="126"/>
      <c r="AA256" s="127"/>
      <c r="AT256" s="123" t="s">
        <v>131</v>
      </c>
      <c r="AU256" s="123" t="s">
        <v>82</v>
      </c>
      <c r="AV256" s="123" t="s">
        <v>128</v>
      </c>
      <c r="AW256" s="123" t="s">
        <v>89</v>
      </c>
      <c r="AX256" s="123" t="s">
        <v>17</v>
      </c>
      <c r="AY256" s="123" t="s">
        <v>122</v>
      </c>
    </row>
    <row r="257" spans="2:63" s="98" customFormat="1" ht="37.5" customHeight="1">
      <c r="B257" s="99"/>
      <c r="D257" s="100" t="s">
        <v>103</v>
      </c>
      <c r="E257" s="100"/>
      <c r="F257" s="100"/>
      <c r="G257" s="100"/>
      <c r="H257" s="100"/>
      <c r="I257" s="100"/>
      <c r="J257" s="100"/>
      <c r="K257" s="100"/>
      <c r="L257" s="100"/>
      <c r="M257" s="100"/>
      <c r="N257" s="204">
        <f>$BK$257</f>
        <v>0</v>
      </c>
      <c r="O257" s="203"/>
      <c r="P257" s="203"/>
      <c r="Q257" s="203"/>
      <c r="R257" s="102"/>
      <c r="T257" s="103"/>
      <c r="W257" s="104">
        <f>$W$258+$W$261+$W$264</f>
        <v>0</v>
      </c>
      <c r="Y257" s="104">
        <f>$Y$258+$Y$261+$Y$264</f>
        <v>0</v>
      </c>
      <c r="AA257" s="105">
        <f>$AA$258+$AA$261+$AA$264</f>
        <v>0</v>
      </c>
      <c r="AR257" s="101" t="s">
        <v>177</v>
      </c>
      <c r="AT257" s="101" t="s">
        <v>71</v>
      </c>
      <c r="AU257" s="101" t="s">
        <v>72</v>
      </c>
      <c r="AY257" s="101" t="s">
        <v>122</v>
      </c>
      <c r="BK257" s="106">
        <f>$BK$258+$BK$261+$BK$264</f>
        <v>0</v>
      </c>
    </row>
    <row r="258" spans="2:63" s="98" customFormat="1" ht="21" customHeight="1">
      <c r="B258" s="99"/>
      <c r="D258" s="107" t="s">
        <v>104</v>
      </c>
      <c r="E258" s="107"/>
      <c r="F258" s="107"/>
      <c r="G258" s="107"/>
      <c r="H258" s="107"/>
      <c r="I258" s="107"/>
      <c r="J258" s="107"/>
      <c r="K258" s="107"/>
      <c r="L258" s="107"/>
      <c r="M258" s="107"/>
      <c r="N258" s="202">
        <f>$BK$258</f>
        <v>0</v>
      </c>
      <c r="O258" s="203"/>
      <c r="P258" s="203"/>
      <c r="Q258" s="203"/>
      <c r="R258" s="102"/>
      <c r="T258" s="103"/>
      <c r="W258" s="104">
        <f>SUM($W$259:$W$260)</f>
        <v>0</v>
      </c>
      <c r="Y258" s="104">
        <f>SUM($Y$259:$Y$260)</f>
        <v>0</v>
      </c>
      <c r="AA258" s="105">
        <f>SUM($AA$259:$AA$260)</f>
        <v>0</v>
      </c>
      <c r="AR258" s="101" t="s">
        <v>177</v>
      </c>
      <c r="AT258" s="101" t="s">
        <v>71</v>
      </c>
      <c r="AU258" s="101" t="s">
        <v>17</v>
      </c>
      <c r="AY258" s="101" t="s">
        <v>122</v>
      </c>
      <c r="BK258" s="106">
        <f>SUM($BK$259:$BK$260)</f>
        <v>0</v>
      </c>
    </row>
    <row r="259" spans="2:65" s="6" customFormat="1" ht="15.75" customHeight="1">
      <c r="B259" s="19"/>
      <c r="C259" s="108" t="s">
        <v>17</v>
      </c>
      <c r="D259" s="108" t="s">
        <v>124</v>
      </c>
      <c r="E259" s="109" t="s">
        <v>386</v>
      </c>
      <c r="F259" s="190" t="s">
        <v>387</v>
      </c>
      <c r="G259" s="191"/>
      <c r="H259" s="191"/>
      <c r="I259" s="191"/>
      <c r="J259" s="110" t="s">
        <v>363</v>
      </c>
      <c r="K259" s="111">
        <v>1</v>
      </c>
      <c r="L259" s="192"/>
      <c r="M259" s="191"/>
      <c r="N259" s="192">
        <f>ROUND($L$259*$K$259,2)</f>
        <v>0</v>
      </c>
      <c r="O259" s="191"/>
      <c r="P259" s="191"/>
      <c r="Q259" s="191"/>
      <c r="R259" s="20"/>
      <c r="T259" s="112"/>
      <c r="U259" s="26" t="s">
        <v>37</v>
      </c>
      <c r="V259" s="113">
        <v>0</v>
      </c>
      <c r="W259" s="113">
        <f>$V$259*$K$259</f>
        <v>0</v>
      </c>
      <c r="X259" s="113">
        <v>0</v>
      </c>
      <c r="Y259" s="113">
        <f>$X$259*$K$259</f>
        <v>0</v>
      </c>
      <c r="Z259" s="113">
        <v>0</v>
      </c>
      <c r="AA259" s="114">
        <f>$Z$259*$K$259</f>
        <v>0</v>
      </c>
      <c r="AR259" s="6" t="s">
        <v>388</v>
      </c>
      <c r="AT259" s="6" t="s">
        <v>124</v>
      </c>
      <c r="AU259" s="6" t="s">
        <v>82</v>
      </c>
      <c r="AY259" s="6" t="s">
        <v>122</v>
      </c>
      <c r="BE259" s="115">
        <f>IF($U$259="základní",$N$259,0)</f>
        <v>0</v>
      </c>
      <c r="BF259" s="115">
        <f>IF($U$259="snížená",$N$259,0)</f>
        <v>0</v>
      </c>
      <c r="BG259" s="115">
        <f>IF($U$259="zákl. přenesená",$N$259,0)</f>
        <v>0</v>
      </c>
      <c r="BH259" s="115">
        <f>IF($U$259="sníž. přenesená",$N$259,0)</f>
        <v>0</v>
      </c>
      <c r="BI259" s="115">
        <f>IF($U$259="nulová",$N$259,0)</f>
        <v>0</v>
      </c>
      <c r="BJ259" s="6" t="s">
        <v>17</v>
      </c>
      <c r="BK259" s="115">
        <f>ROUND($L$259*$K$259,2)</f>
        <v>0</v>
      </c>
      <c r="BL259" s="6" t="s">
        <v>388</v>
      </c>
      <c r="BM259" s="6" t="s">
        <v>389</v>
      </c>
    </row>
    <row r="260" spans="2:51" s="6" customFormat="1" ht="18.75" customHeight="1">
      <c r="B260" s="116"/>
      <c r="E260" s="117"/>
      <c r="F260" s="193" t="s">
        <v>17</v>
      </c>
      <c r="G260" s="194"/>
      <c r="H260" s="194"/>
      <c r="I260" s="194"/>
      <c r="K260" s="118">
        <v>1</v>
      </c>
      <c r="R260" s="119"/>
      <c r="T260" s="120"/>
      <c r="AA260" s="121"/>
      <c r="AT260" s="117" t="s">
        <v>131</v>
      </c>
      <c r="AU260" s="117" t="s">
        <v>82</v>
      </c>
      <c r="AV260" s="117" t="s">
        <v>82</v>
      </c>
      <c r="AW260" s="117" t="s">
        <v>89</v>
      </c>
      <c r="AX260" s="117" t="s">
        <v>17</v>
      </c>
      <c r="AY260" s="117" t="s">
        <v>122</v>
      </c>
    </row>
    <row r="261" spans="2:63" s="98" customFormat="1" ht="30.75" customHeight="1">
      <c r="B261" s="99"/>
      <c r="D261" s="107" t="s">
        <v>105</v>
      </c>
      <c r="E261" s="107"/>
      <c r="F261" s="107"/>
      <c r="G261" s="107"/>
      <c r="H261" s="107"/>
      <c r="I261" s="107"/>
      <c r="J261" s="107"/>
      <c r="K261" s="107"/>
      <c r="L261" s="107"/>
      <c r="M261" s="107"/>
      <c r="N261" s="202">
        <f>$BK$261</f>
        <v>0</v>
      </c>
      <c r="O261" s="203"/>
      <c r="P261" s="203"/>
      <c r="Q261" s="203"/>
      <c r="R261" s="102"/>
      <c r="T261" s="103"/>
      <c r="W261" s="104">
        <f>SUM($W$262:$W$263)</f>
        <v>0</v>
      </c>
      <c r="Y261" s="104">
        <f>SUM($Y$262:$Y$263)</f>
        <v>0</v>
      </c>
      <c r="AA261" s="105">
        <f>SUM($AA$262:$AA$263)</f>
        <v>0</v>
      </c>
      <c r="AR261" s="101" t="s">
        <v>177</v>
      </c>
      <c r="AT261" s="101" t="s">
        <v>71</v>
      </c>
      <c r="AU261" s="101" t="s">
        <v>17</v>
      </c>
      <c r="AY261" s="101" t="s">
        <v>122</v>
      </c>
      <c r="BK261" s="106">
        <f>SUM($BK$262:$BK$263)</f>
        <v>0</v>
      </c>
    </row>
    <row r="262" spans="2:65" s="6" customFormat="1" ht="15.75" customHeight="1">
      <c r="B262" s="19"/>
      <c r="C262" s="108" t="s">
        <v>82</v>
      </c>
      <c r="D262" s="108" t="s">
        <v>124</v>
      </c>
      <c r="E262" s="109" t="s">
        <v>390</v>
      </c>
      <c r="F262" s="190" t="s">
        <v>391</v>
      </c>
      <c r="G262" s="191"/>
      <c r="H262" s="191"/>
      <c r="I262" s="191"/>
      <c r="J262" s="110" t="s">
        <v>363</v>
      </c>
      <c r="K262" s="111">
        <v>1</v>
      </c>
      <c r="L262" s="192"/>
      <c r="M262" s="191"/>
      <c r="N262" s="192">
        <f>ROUND($L$262*$K$262,2)</f>
        <v>0</v>
      </c>
      <c r="O262" s="191"/>
      <c r="P262" s="191"/>
      <c r="Q262" s="191"/>
      <c r="R262" s="20"/>
      <c r="T262" s="112"/>
      <c r="U262" s="26" t="s">
        <v>37</v>
      </c>
      <c r="V262" s="113">
        <v>0</v>
      </c>
      <c r="W262" s="113">
        <f>$V$262*$K$262</f>
        <v>0</v>
      </c>
      <c r="X262" s="113">
        <v>0</v>
      </c>
      <c r="Y262" s="113">
        <f>$X$262*$K$262</f>
        <v>0</v>
      </c>
      <c r="Z262" s="113">
        <v>0</v>
      </c>
      <c r="AA262" s="114">
        <f>$Z$262*$K$262</f>
        <v>0</v>
      </c>
      <c r="AR262" s="6" t="s">
        <v>388</v>
      </c>
      <c r="AT262" s="6" t="s">
        <v>124</v>
      </c>
      <c r="AU262" s="6" t="s">
        <v>82</v>
      </c>
      <c r="AY262" s="6" t="s">
        <v>122</v>
      </c>
      <c r="BE262" s="115">
        <f>IF($U$262="základní",$N$262,0)</f>
        <v>0</v>
      </c>
      <c r="BF262" s="115">
        <f>IF($U$262="snížená",$N$262,0)</f>
        <v>0</v>
      </c>
      <c r="BG262" s="115">
        <f>IF($U$262="zákl. přenesená",$N$262,0)</f>
        <v>0</v>
      </c>
      <c r="BH262" s="115">
        <f>IF($U$262="sníž. přenesená",$N$262,0)</f>
        <v>0</v>
      </c>
      <c r="BI262" s="115">
        <f>IF($U$262="nulová",$N$262,0)</f>
        <v>0</v>
      </c>
      <c r="BJ262" s="6" t="s">
        <v>17</v>
      </c>
      <c r="BK262" s="115">
        <f>ROUND($L$262*$K$262,2)</f>
        <v>0</v>
      </c>
      <c r="BL262" s="6" t="s">
        <v>388</v>
      </c>
      <c r="BM262" s="6" t="s">
        <v>392</v>
      </c>
    </row>
    <row r="263" spans="2:51" s="6" customFormat="1" ht="18.75" customHeight="1">
      <c r="B263" s="116"/>
      <c r="E263" s="117"/>
      <c r="F263" s="193" t="s">
        <v>17</v>
      </c>
      <c r="G263" s="194"/>
      <c r="H263" s="194"/>
      <c r="I263" s="194"/>
      <c r="K263" s="118">
        <v>1</v>
      </c>
      <c r="R263" s="119"/>
      <c r="T263" s="120"/>
      <c r="AA263" s="121"/>
      <c r="AT263" s="117" t="s">
        <v>131</v>
      </c>
      <c r="AU263" s="117" t="s">
        <v>82</v>
      </c>
      <c r="AV263" s="117" t="s">
        <v>82</v>
      </c>
      <c r="AW263" s="117" t="s">
        <v>89</v>
      </c>
      <c r="AX263" s="117" t="s">
        <v>17</v>
      </c>
      <c r="AY263" s="117" t="s">
        <v>122</v>
      </c>
    </row>
    <row r="264" spans="2:63" s="98" customFormat="1" ht="30.75" customHeight="1">
      <c r="B264" s="99"/>
      <c r="D264" s="107" t="s">
        <v>106</v>
      </c>
      <c r="E264" s="107"/>
      <c r="F264" s="107"/>
      <c r="G264" s="107"/>
      <c r="H264" s="107"/>
      <c r="I264" s="107"/>
      <c r="J264" s="107"/>
      <c r="K264" s="107"/>
      <c r="L264" s="107"/>
      <c r="M264" s="107"/>
      <c r="N264" s="202">
        <f>$BK$264</f>
        <v>0</v>
      </c>
      <c r="O264" s="203"/>
      <c r="P264" s="203"/>
      <c r="Q264" s="203"/>
      <c r="R264" s="102"/>
      <c r="T264" s="103"/>
      <c r="W264" s="104">
        <f>SUM($W$265:$W$266)</f>
        <v>0</v>
      </c>
      <c r="Y264" s="104">
        <f>SUM($Y$265:$Y$266)</f>
        <v>0</v>
      </c>
      <c r="AA264" s="105">
        <f>SUM($AA$265:$AA$266)</f>
        <v>0</v>
      </c>
      <c r="AR264" s="101" t="s">
        <v>177</v>
      </c>
      <c r="AT264" s="101" t="s">
        <v>71</v>
      </c>
      <c r="AU264" s="101" t="s">
        <v>17</v>
      </c>
      <c r="AY264" s="101" t="s">
        <v>122</v>
      </c>
      <c r="BK264" s="106">
        <f>SUM($BK$265:$BK$266)</f>
        <v>0</v>
      </c>
    </row>
    <row r="265" spans="2:65" s="6" customFormat="1" ht="15.75" customHeight="1">
      <c r="B265" s="19"/>
      <c r="C265" s="108" t="s">
        <v>393</v>
      </c>
      <c r="D265" s="108" t="s">
        <v>124</v>
      </c>
      <c r="E265" s="109" t="s">
        <v>394</v>
      </c>
      <c r="F265" s="190" t="s">
        <v>395</v>
      </c>
      <c r="G265" s="191"/>
      <c r="H265" s="191"/>
      <c r="I265" s="191"/>
      <c r="J265" s="110" t="s">
        <v>363</v>
      </c>
      <c r="K265" s="111">
        <v>1</v>
      </c>
      <c r="L265" s="192"/>
      <c r="M265" s="191"/>
      <c r="N265" s="192">
        <f>ROUND($L$265*$K$265,2)</f>
        <v>0</v>
      </c>
      <c r="O265" s="191"/>
      <c r="P265" s="191"/>
      <c r="Q265" s="191"/>
      <c r="R265" s="20"/>
      <c r="T265" s="112"/>
      <c r="U265" s="26" t="s">
        <v>37</v>
      </c>
      <c r="V265" s="113">
        <v>0</v>
      </c>
      <c r="W265" s="113">
        <f>$V$265*$K$265</f>
        <v>0</v>
      </c>
      <c r="X265" s="113">
        <v>0</v>
      </c>
      <c r="Y265" s="113">
        <f>$X$265*$K$265</f>
        <v>0</v>
      </c>
      <c r="Z265" s="113">
        <v>0</v>
      </c>
      <c r="AA265" s="114">
        <f>$Z$265*$K$265</f>
        <v>0</v>
      </c>
      <c r="AR265" s="6" t="s">
        <v>388</v>
      </c>
      <c r="AT265" s="6" t="s">
        <v>124</v>
      </c>
      <c r="AU265" s="6" t="s">
        <v>82</v>
      </c>
      <c r="AY265" s="6" t="s">
        <v>122</v>
      </c>
      <c r="BE265" s="115">
        <f>IF($U$265="základní",$N$265,0)</f>
        <v>0</v>
      </c>
      <c r="BF265" s="115">
        <f>IF($U$265="snížená",$N$265,0)</f>
        <v>0</v>
      </c>
      <c r="BG265" s="115">
        <f>IF($U$265="zákl. přenesená",$N$265,0)</f>
        <v>0</v>
      </c>
      <c r="BH265" s="115">
        <f>IF($U$265="sníž. přenesená",$N$265,0)</f>
        <v>0</v>
      </c>
      <c r="BI265" s="115">
        <f>IF($U$265="nulová",$N$265,0)</f>
        <v>0</v>
      </c>
      <c r="BJ265" s="6" t="s">
        <v>17</v>
      </c>
      <c r="BK265" s="115">
        <f>ROUND($L$265*$K$265,2)</f>
        <v>0</v>
      </c>
      <c r="BL265" s="6" t="s">
        <v>388</v>
      </c>
      <c r="BM265" s="6" t="s">
        <v>396</v>
      </c>
    </row>
    <row r="266" spans="2:51" s="6" customFormat="1" ht="18.75" customHeight="1">
      <c r="B266" s="116"/>
      <c r="E266" s="117"/>
      <c r="F266" s="193" t="s">
        <v>17</v>
      </c>
      <c r="G266" s="194"/>
      <c r="H266" s="194"/>
      <c r="I266" s="194"/>
      <c r="K266" s="118">
        <v>1</v>
      </c>
      <c r="R266" s="119"/>
      <c r="T266" s="137"/>
      <c r="U266" s="138"/>
      <c r="V266" s="138"/>
      <c r="W266" s="138"/>
      <c r="X266" s="138"/>
      <c r="Y266" s="138"/>
      <c r="Z266" s="138"/>
      <c r="AA266" s="139"/>
      <c r="AT266" s="117" t="s">
        <v>131</v>
      </c>
      <c r="AU266" s="117" t="s">
        <v>82</v>
      </c>
      <c r="AV266" s="117" t="s">
        <v>82</v>
      </c>
      <c r="AW266" s="117" t="s">
        <v>89</v>
      </c>
      <c r="AX266" s="117" t="s">
        <v>17</v>
      </c>
      <c r="AY266" s="117" t="s">
        <v>122</v>
      </c>
    </row>
    <row r="267" spans="2:18" s="6" customFormat="1" ht="7.5" customHeight="1">
      <c r="B267" s="4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3"/>
    </row>
    <row r="268" s="2" customFormat="1" ht="14.25" customHeight="1"/>
  </sheetData>
  <sheetProtection/>
  <mergeCells count="311">
    <mergeCell ref="H1:K1"/>
    <mergeCell ref="S2:AC2"/>
    <mergeCell ref="N216:Q216"/>
    <mergeCell ref="N226:Q226"/>
    <mergeCell ref="N235:Q235"/>
    <mergeCell ref="N249:Q249"/>
    <mergeCell ref="N199:Q199"/>
    <mergeCell ref="N206:Q206"/>
    <mergeCell ref="F246:I246"/>
    <mergeCell ref="F247:I247"/>
    <mergeCell ref="F266:I266"/>
    <mergeCell ref="N124:Q124"/>
    <mergeCell ref="N125:Q125"/>
    <mergeCell ref="N126:Q126"/>
    <mergeCell ref="N135:Q135"/>
    <mergeCell ref="N141:Q141"/>
    <mergeCell ref="N146:Q146"/>
    <mergeCell ref="N175:Q175"/>
    <mergeCell ref="F260:I260"/>
    <mergeCell ref="F262:I262"/>
    <mergeCell ref="L262:M262"/>
    <mergeCell ref="N262:Q262"/>
    <mergeCell ref="F263:I263"/>
    <mergeCell ref="F265:I265"/>
    <mergeCell ref="L265:M265"/>
    <mergeCell ref="N265:Q265"/>
    <mergeCell ref="N261:Q261"/>
    <mergeCell ref="N264:Q264"/>
    <mergeCell ref="F254:I254"/>
    <mergeCell ref="F255:I255"/>
    <mergeCell ref="F256:I256"/>
    <mergeCell ref="F259:I259"/>
    <mergeCell ref="L259:M259"/>
    <mergeCell ref="N259:Q259"/>
    <mergeCell ref="N257:Q257"/>
    <mergeCell ref="N258:Q258"/>
    <mergeCell ref="F250:I250"/>
    <mergeCell ref="L250:M250"/>
    <mergeCell ref="N250:Q250"/>
    <mergeCell ref="F251:I251"/>
    <mergeCell ref="F252:I252"/>
    <mergeCell ref="F253:I253"/>
    <mergeCell ref="L247:M247"/>
    <mergeCell ref="N247:Q247"/>
    <mergeCell ref="F248:I248"/>
    <mergeCell ref="L248:M248"/>
    <mergeCell ref="N248:Q248"/>
    <mergeCell ref="F243:I243"/>
    <mergeCell ref="F244:I244"/>
    <mergeCell ref="L244:M244"/>
    <mergeCell ref="N244:Q244"/>
    <mergeCell ref="F245:I245"/>
    <mergeCell ref="L245:M245"/>
    <mergeCell ref="N245:Q245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F233:I233"/>
    <mergeCell ref="L233:M233"/>
    <mergeCell ref="N233:Q233"/>
    <mergeCell ref="F234:I234"/>
    <mergeCell ref="L234:M234"/>
    <mergeCell ref="N234:Q234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5:I225"/>
    <mergeCell ref="L225:M225"/>
    <mergeCell ref="N225:Q225"/>
    <mergeCell ref="F227:I227"/>
    <mergeCell ref="L227:M227"/>
    <mergeCell ref="N227:Q227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13:I213"/>
    <mergeCell ref="F214:I214"/>
    <mergeCell ref="L214:M214"/>
    <mergeCell ref="N214:Q214"/>
    <mergeCell ref="F215:I215"/>
    <mergeCell ref="L215:M215"/>
    <mergeCell ref="N215:Q215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03:I203"/>
    <mergeCell ref="F204:I204"/>
    <mergeCell ref="L204:M204"/>
    <mergeCell ref="N204:Q204"/>
    <mergeCell ref="F205:I205"/>
    <mergeCell ref="F208:I208"/>
    <mergeCell ref="L208:M208"/>
    <mergeCell ref="N208:Q208"/>
    <mergeCell ref="N207:Q207"/>
    <mergeCell ref="F198:I198"/>
    <mergeCell ref="F200:I200"/>
    <mergeCell ref="L200:M200"/>
    <mergeCell ref="N200:Q200"/>
    <mergeCell ref="F201:I201"/>
    <mergeCell ref="F202:I202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3:I183"/>
    <mergeCell ref="L183:M183"/>
    <mergeCell ref="N183:Q183"/>
    <mergeCell ref="F184:I184"/>
    <mergeCell ref="F185:I185"/>
    <mergeCell ref="L185:M185"/>
    <mergeCell ref="N185:Q185"/>
    <mergeCell ref="F177:I177"/>
    <mergeCell ref="F178:I178"/>
    <mergeCell ref="F179:I179"/>
    <mergeCell ref="F180:I180"/>
    <mergeCell ref="F181:I181"/>
    <mergeCell ref="F182:I182"/>
    <mergeCell ref="F172:I172"/>
    <mergeCell ref="F173:I173"/>
    <mergeCell ref="L173:M173"/>
    <mergeCell ref="N173:Q173"/>
    <mergeCell ref="F174:I174"/>
    <mergeCell ref="F176:I176"/>
    <mergeCell ref="L176:M176"/>
    <mergeCell ref="N176:Q176"/>
    <mergeCell ref="N168:Q168"/>
    <mergeCell ref="F169:I169"/>
    <mergeCell ref="F170:I170"/>
    <mergeCell ref="L170:M170"/>
    <mergeCell ref="N170:Q170"/>
    <mergeCell ref="F171:I171"/>
    <mergeCell ref="F164:I164"/>
    <mergeCell ref="F165:I165"/>
    <mergeCell ref="F166:I166"/>
    <mergeCell ref="F167:I167"/>
    <mergeCell ref="F168:I168"/>
    <mergeCell ref="L168:M168"/>
    <mergeCell ref="F158:I158"/>
    <mergeCell ref="F159:I159"/>
    <mergeCell ref="F160:I160"/>
    <mergeCell ref="F161:I161"/>
    <mergeCell ref="F162:I162"/>
    <mergeCell ref="F163:I16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5:I145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F142:I142"/>
    <mergeCell ref="L142:M142"/>
    <mergeCell ref="N142:Q142"/>
    <mergeCell ref="F143:I143"/>
    <mergeCell ref="F144:I144"/>
    <mergeCell ref="L144:M144"/>
    <mergeCell ref="N144:Q144"/>
    <mergeCell ref="N136:Q136"/>
    <mergeCell ref="F137:I137"/>
    <mergeCell ref="F138:I138"/>
    <mergeCell ref="F139:I139"/>
    <mergeCell ref="L139:M139"/>
    <mergeCell ref="N139:Q139"/>
    <mergeCell ref="F131:I131"/>
    <mergeCell ref="F132:I132"/>
    <mergeCell ref="F133:I133"/>
    <mergeCell ref="F134:I134"/>
    <mergeCell ref="F136:I136"/>
    <mergeCell ref="L136:M136"/>
    <mergeCell ref="F127:I127"/>
    <mergeCell ref="L127:M127"/>
    <mergeCell ref="N127:Q127"/>
    <mergeCell ref="F128:I128"/>
    <mergeCell ref="F129:I129"/>
    <mergeCell ref="F130:I130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N101:Q101"/>
    <mergeCell ref="N102:Q102"/>
    <mergeCell ref="N103:Q103"/>
    <mergeCell ref="N104:Q104"/>
    <mergeCell ref="N106:Q106"/>
    <mergeCell ref="L108:Q108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Miloš Rademacher</dc:creator>
  <cp:keywords/>
  <dc:description/>
  <cp:lastModifiedBy>Fajfr Jan, Mgr. &amp; Mgr.</cp:lastModifiedBy>
  <dcterms:created xsi:type="dcterms:W3CDTF">2017-08-31T14:19:40Z</dcterms:created>
  <dcterms:modified xsi:type="dcterms:W3CDTF">2018-01-11T09:55:58Z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