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<sst xmlns="http://schemas.openxmlformats.org/spreadsheetml/2006/main" count="533" uniqueCount="262">
  <si>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</si>
  <si>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</si>
  <si>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</si>
  <si>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</si>
  <si>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</si>
  <si>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</si>
  <si>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</si>
  <si>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</si>
  <si>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</si>
  <si>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</si>
  <si>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</si>
  <si>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</si>
  <si>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</si>
  <si>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</si>
  <si>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</si>
  <si>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</si>
  <si>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</si>
  <si>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</si>
  <si>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</si>
  <si>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</si>
  <si>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</si>
  <si>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</si>
  <si>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</si>
  <si>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</si>
  <si>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</si>
  <si>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</si>
  <si>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</si>
  <si>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</si>
  <si>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</si>
  <si>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</si>
  <si>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</si>
  <si>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</si>
  <si>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</si>
  <si>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</si>
  <si>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</si>
  <si>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</si>
  <si>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</si>
  <si>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</si>
  <si>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</si>
  <si>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Poznámka:</t>
  </si>
  <si>
    <t>Objekt</t>
  </si>
  <si>
    <t>Kód</t>
  </si>
  <si>
    <t>61</t>
  </si>
  <si>
    <t>612425931R00</t>
  </si>
  <si>
    <t>64</t>
  </si>
  <si>
    <t>R- 641941412R00</t>
  </si>
  <si>
    <t>553 R-41683</t>
  </si>
  <si>
    <t>R-641941414R00</t>
  </si>
  <si>
    <t>553 R-41401</t>
  </si>
  <si>
    <t>R-642942331R00</t>
  </si>
  <si>
    <t>553 R- 41550</t>
  </si>
  <si>
    <t>R- 641954451R00</t>
  </si>
  <si>
    <t>55341401</t>
  </si>
  <si>
    <t>648991113R00</t>
  </si>
  <si>
    <t>607753594</t>
  </si>
  <si>
    <t>764</t>
  </si>
  <si>
    <t>R- 764908303</t>
  </si>
  <si>
    <t>998764101R00</t>
  </si>
  <si>
    <t>94</t>
  </si>
  <si>
    <t>941955001R00</t>
  </si>
  <si>
    <t>95</t>
  </si>
  <si>
    <t>952901111R00</t>
  </si>
  <si>
    <t>96</t>
  </si>
  <si>
    <t>968061113R00</t>
  </si>
  <si>
    <t>968062357R00</t>
  </si>
  <si>
    <t>968061126R00</t>
  </si>
  <si>
    <t>968062456R00</t>
  </si>
  <si>
    <t>968062745R00</t>
  </si>
  <si>
    <t>968062747R00</t>
  </si>
  <si>
    <t>968095001R00</t>
  </si>
  <si>
    <t>764410850R00</t>
  </si>
  <si>
    <t>H99</t>
  </si>
  <si>
    <t>999281111R00</t>
  </si>
  <si>
    <t>S</t>
  </si>
  <si>
    <t>979011111R00</t>
  </si>
  <si>
    <t>979011121R00</t>
  </si>
  <si>
    <t>979082111R00</t>
  </si>
  <si>
    <t>979086112R00</t>
  </si>
  <si>
    <t>979081111R00</t>
  </si>
  <si>
    <t>979091121R00</t>
  </si>
  <si>
    <t>979990001R00</t>
  </si>
  <si>
    <t>Zotavovna VS ČR Pracov, zpracování projektové přípravy + PENB + PBŘ, atrium</t>
  </si>
  <si>
    <t>rozpočet atria</t>
  </si>
  <si>
    <t>Radimovice u Želče čp. 118, okres Tábor</t>
  </si>
  <si>
    <t>Zkrácený popis</t>
  </si>
  <si>
    <t>Rozměry</t>
  </si>
  <si>
    <t>Úprava povrchů vnitřní</t>
  </si>
  <si>
    <t>Omítka vápenná vnitřního ostění a nadpraží - štuková</t>
  </si>
  <si>
    <t>(3,06+2,70+3,06)*0,60   vybouraný otvor mezi chodbou a atriem</t>
  </si>
  <si>
    <t>Výplně otvorů</t>
  </si>
  <si>
    <t>Osazení rámů okenních hliníkových, plocha do 10 m2  vč. okenních křídel</t>
  </si>
  <si>
    <t>2*1</t>
  </si>
  <si>
    <t xml:space="preserve"> V položce jsou zakalkulovány i náklady na kotvení rámů do zdiva. V položce nejsou zakalkulovány náklady na dodávku oken, které se oceňují ve specifikaci . Ztratné se nestanoví.
V rozpočtu je použito R-položek všude tam, kde databáze rozpočtového programu neodpovídá přesné citaci potřebné práce (mzdy) a osazovaného materiálu (dodávky).</t>
  </si>
  <si>
    <t xml:space="preserve"> okno šestikřídlé hliníkové 3200 x 2200 mm,zasklené čirým sklem - izolačním dvojsklem  ozn. O1   - dodání</t>
  </si>
  <si>
    <t>Podrobněji viz. Výpis oken a dveří v PD</t>
  </si>
  <si>
    <t>Osazení rámu hliníkové proslené stěny, plocha nad 10 m2 vč. dveřního křídla a okenních křídel</t>
  </si>
  <si>
    <t>1*1</t>
  </si>
  <si>
    <t xml:space="preserve"> prosklená hliníková dvacetikřídlá stěna, z toho 1x balkon. dveře, vel. stěny 10 000 x 3000 mm, zasklené čirým  izolačním dvojsklem, ozn. O2, - dodání</t>
  </si>
  <si>
    <t>Podrobněji viz. Výpis oken a dveří v PD. Vnější parapetní plech z taženého hliníku je v oddílu Klempířské konstrukce.</t>
  </si>
  <si>
    <t>Osazení  vchodových dveří dvoukřídlových vč.nadsvětlíku , pl. do 10 m2 - přístup z vnějšího schodiště + montáž el.vrátného .</t>
  </si>
  <si>
    <t xml:space="preserve"> dvoukřídlové hliníkové prosklené dveře vel 1700 x 2100 mm + nadsvětlík 1700 x 950 mm, cca 1700 x 3050 mm,+ elektrický vrátný,   ozn.D1 - dodání</t>
  </si>
  <si>
    <t>Podrobněji viz. Výpis oken a dveří v PD.  Do ceny k elektrickému vrátnému je nutno započítat dodání kabelu do vzdálenost cca 10 m.(zapuštění vedení do zdiva nebo vhodné zalištování).</t>
  </si>
  <si>
    <t>Osazení prosklených hliníkových dveří vel.2700 x 3050 mm -  do 10m2, - mezi atriem a mezipodestou vnitřního schodiště</t>
  </si>
  <si>
    <t xml:space="preserve"> pětikřídlé vchodové dveře s interiérového hliníku, vel. 2700 x 3050 mm, dvě křídla otevíravá, ozn. D2  - dodání</t>
  </si>
  <si>
    <t>Podrobněji viz. Výpis oken a dveří v PD.</t>
  </si>
  <si>
    <t>Osazení parapet.desek  š.nad 20cm</t>
  </si>
  <si>
    <t>3,20*2</t>
  </si>
  <si>
    <t xml:space="preserve"> parapet interiér PVC, barva ořech,  šíře 300 mm  - pro dvě okna  - dodání</t>
  </si>
  <si>
    <t>3,2*2</t>
  </si>
  <si>
    <t>Konstrukce klempířské</t>
  </si>
  <si>
    <t xml:space="preserve"> Oplechování vnějších parapetů taženým hliníkem , rš 330 mm</t>
  </si>
  <si>
    <t>3,20*2   dvě nově osazená okna atria</t>
  </si>
  <si>
    <t>10*1   parapet nové stěny mezi chodbou a exteriérem</t>
  </si>
  <si>
    <t>Přesun hmot pro klempířské konstr., výšky do 6 m</t>
  </si>
  <si>
    <t>0,0558*1</t>
  </si>
  <si>
    <t>Lešení a stavební výtahy</t>
  </si>
  <si>
    <t>Lešení lehké pomocné, výška podlahy do 1,2 m,   při osazování oken, vchodových vstupních dveří a prosklené stěny</t>
  </si>
  <si>
    <t>(3*0,80)*2   při osazování oken</t>
  </si>
  <si>
    <t>2,50*0,8   při osazová vchodových vstupních dveří</t>
  </si>
  <si>
    <t>2,50*0,80   při osazování prosklené stěny</t>
  </si>
  <si>
    <t>9,5*0,80   při osazování prosklené stěny mezi chodbou a boční  místností  vedle  atria</t>
  </si>
  <si>
    <t>Různé dokončovací konstrukce a práce na pozemních stavbách</t>
  </si>
  <si>
    <t>Vyčištění budov o výšce podlaží do 4 m - podlah dotčených místností</t>
  </si>
  <si>
    <t>25,78+17,92+23,10</t>
  </si>
  <si>
    <t>Bourání konstrukcí</t>
  </si>
  <si>
    <t>Vyvěšení dřevěných okenních křídel pl. nad 1,5 m2 - dvě okna atria</t>
  </si>
  <si>
    <t>6*2</t>
  </si>
  <si>
    <t>Vybourání dřevěných rámů oken dvojitých nad  4 m2</t>
  </si>
  <si>
    <t>(3,2*2)*2   dvě okna atria</t>
  </si>
  <si>
    <t>Vyvěšení dřevěných dveřních křídel pl. nad 2 m2,  ks= jedno křídlo</t>
  </si>
  <si>
    <t>2*1   dvoukřídlové dveře vstupní vchodové -přístup z vnějšího schodiště</t>
  </si>
  <si>
    <t>(2*1)*2   2x dvoukřídlové dveře - vstup z chodby a z mezipodesty do atria</t>
  </si>
  <si>
    <t>Vybourání dřevěných dveřních zárubní pl. nad 2 m2  vstupní vchodové dveře (přístup z vnějšího schodiště) mimo nadsvětlíku</t>
  </si>
  <si>
    <t>1,70*2,10</t>
  </si>
  <si>
    <t>Vybourání dřevěných stěn plochy do 2 m2 - nadsvětlík u vstupních vchodových dveří (přístup z vnějšího schodiště)</t>
  </si>
  <si>
    <t>1,70*0,96</t>
  </si>
  <si>
    <t>Vybourání dřevěných (prosklených i plných) stěn plochy nad 4 m2 - stěny s dvoukřídlými dveřmi - vstupy do atria</t>
  </si>
  <si>
    <t>(2,70*3,05-(1,70*2,10))*2   odečtení již vyvěšených dvoukřídlových dveří</t>
  </si>
  <si>
    <t>Vybourání dřevěných (prosklených i plných) stěn plochy nad 4 m2 - stěna mezi chodbou exteriérem</t>
  </si>
  <si>
    <t>10*3</t>
  </si>
  <si>
    <t>Bourání vnitřních parapetů oken dřevěných š. do 25 cm</t>
  </si>
  <si>
    <t>Demontáž oplechování vnějších parapetů oken ,rš od 100 do 330 mm</t>
  </si>
  <si>
    <t>3,20*2+10</t>
  </si>
  <si>
    <t>Ostatní přesuny hmot</t>
  </si>
  <si>
    <t>Přesun hmot pro opravy a údržbu do výšky 25 m</t>
  </si>
  <si>
    <t>0,509+2,27+0,0198+0,0027</t>
  </si>
  <si>
    <t>Přesuny sutí</t>
  </si>
  <si>
    <t>Svislá doprava suti a vybour. hmot za 2.NP a 1.PP</t>
  </si>
  <si>
    <t>1,5975*1</t>
  </si>
  <si>
    <t>Příplatek za každé další podlaží x 2</t>
  </si>
  <si>
    <t>1,6*1</t>
  </si>
  <si>
    <t>Vnitrostaveništní doprava suti do 10 m</t>
  </si>
  <si>
    <t>Nakládání nebo překládání suti a vybouraných hmot</t>
  </si>
  <si>
    <t>Odvoz suti a vybour. hmot na skládku do 1 km</t>
  </si>
  <si>
    <t>Vodorovné přemíst. vybouraných hmot za další 1 km x 18 (Pracov - Klenovice cca 19,4 km)</t>
  </si>
  <si>
    <t>Poplatek za skládku stavební suti v Klenovicích: sklo, dřevěné stěny a prosklené dveře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</si>
  <si>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</si>
  <si>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</si>
  <si>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</si>
  <si>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</si>
  <si>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</si>
  <si>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</si>
  <si>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</si>
  <si>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ks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</si>
  <si>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</si>
  <si>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</si>
  <si>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</si>
  <si>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</si>
  <si>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</si>
  <si>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</si>
  <si>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</si>
  <si>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</si>
  <si>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</si>
  <si>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</si>
  <si>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</si>
  <si>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</si>
  <si>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</si>
  <si>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Zotavovna VS ČR Pracov</t>
  </si>
  <si>
    <t>Ing.arch.Jirovský, Ph,D. Tábor</t>
  </si>
  <si>
    <t>Miroslav Vorel,DIS, M.A.A.T.</t>
  </si>
  <si>
    <t>Martina Kraftová, Tábor</t>
  </si>
  <si>
    <t>Celkem</t>
  </si>
  <si>
    <t>Hmotnost (t)</t>
  </si>
  <si>
    <t>Cenová</t>
  </si>
  <si>
    <t>soustava</t>
  </si>
  <si>
    <t>RTS II / 2014</t>
  </si>
  <si>
    <t>RTS I / 2013</t>
  </si>
  <si>
    <t>0</t>
  </si>
  <si>
    <t>Přesuny</t>
  </si>
  <si>
    <t>Typ skupiny</t>
  </si>
  <si>
    <t>HS</t>
  </si>
  <si>
    <t>PS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</si>
  <si>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</si>
  <si>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</si>
  <si>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</si>
  <si>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</si>
  <si>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</si>
  <si>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</si>
  <si>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</si>
  <si>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</si>
  <si>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</si>
  <si>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64_</t>
  </si>
  <si>
    <t>764_</t>
  </si>
  <si>
    <t>94_</t>
  </si>
  <si>
    <t>95_</t>
  </si>
  <si>
    <t>96_</t>
  </si>
  <si>
    <t>H99_</t>
  </si>
  <si>
    <t>S_</t>
  </si>
  <si>
    <t>6_</t>
  </si>
  <si>
    <t>76_</t>
  </si>
  <si>
    <t>9_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</si>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</sst>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10"/>
      <color indexed="60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2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9" fontId="10" fillId="2" borderId="20" xfId="0" applyNumberFormat="1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12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49" fontId="12" fillId="0" borderId="20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1" fillId="2" borderId="29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2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2" borderId="0" xfId="0" applyNumberFormat="1" applyFont="1" applyFill="1" applyBorder="1" applyAlignment="1" applyProtection="1">
      <alignment horizontal="left" vertical="center" wrapText="1"/>
      <protection/>
    </xf>
    <xf numFmtId="49" fontId="3" fillId="2" borderId="0" xfId="0" applyNumberFormat="1" applyFont="1" applyFill="1" applyBorder="1" applyAlignment="1" applyProtection="1">
      <alignment horizontal="left" vertical="center" wrapText="1"/>
      <protection/>
    </xf>
    <xf numFmtId="4" fontId="3" fillId="2" borderId="0" xfId="0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Border="1" applyAlignment="1" applyProtection="1">
      <alignment horizontal="righ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4" fontId="8" fillId="0" borderId="4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49" fontId="11" fillId="2" borderId="28" xfId="0" applyNumberFormat="1" applyFont="1" applyFill="1" applyBorder="1" applyAlignment="1" applyProtection="1">
      <alignment horizontal="left" vertical="center"/>
      <protection/>
    </xf>
    <xf numFmtId="0" fontId="11" fillId="2" borderId="32" xfId="0" applyNumberFormat="1" applyFont="1" applyFill="1" applyBorder="1" applyAlignment="1" applyProtection="1">
      <alignment horizontal="left" vertical="center"/>
      <protection/>
    </xf>
    <xf numFmtId="49" fontId="12" fillId="0" borderId="33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5" xfId="0" applyNumberFormat="1" applyFont="1" applyFill="1" applyBorder="1" applyAlignment="1" applyProtection="1">
      <alignment horizontal="left" vertical="center" wrapText="1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M17" sqref="M1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2"/>
      <c r="B1" s="5"/>
      <c r="C1" s="76" t="s">
        <v>233</v>
      </c>
      <c r="D1" s="77"/>
      <c r="E1" s="77"/>
      <c r="F1" s="77"/>
      <c r="G1" s="77"/>
      <c r="H1" s="77"/>
      <c r="I1" s="77"/>
    </row>
    <row r="2" spans="1:10" ht="12.75">
      <c r="A2" s="78" t="s">
        <v>1</v>
      </c>
      <c r="B2" s="79"/>
      <c r="C2" s="82" t="s">
        <v>81</v>
      </c>
      <c r="D2" s="83"/>
      <c r="E2" s="85" t="s">
        <v>172</v>
      </c>
      <c r="F2" s="85" t="s">
        <v>177</v>
      </c>
      <c r="G2" s="79"/>
      <c r="H2" s="85" t="s">
        <v>258</v>
      </c>
      <c r="I2" s="86"/>
      <c r="J2" s="22"/>
    </row>
    <row r="3" spans="1:10" ht="25.5" customHeight="1">
      <c r="A3" s="80"/>
      <c r="B3" s="81"/>
      <c r="C3" s="84"/>
      <c r="D3" s="84"/>
      <c r="E3" s="81"/>
      <c r="F3" s="81"/>
      <c r="G3" s="81"/>
      <c r="H3" s="81"/>
      <c r="I3" s="87"/>
      <c r="J3" s="22"/>
    </row>
    <row r="4" spans="1:10" ht="12.75">
      <c r="A4" s="88" t="s">
        <v>2</v>
      </c>
      <c r="B4" s="81"/>
      <c r="C4" s="89" t="s">
        <v>82</v>
      </c>
      <c r="D4" s="81"/>
      <c r="E4" s="89" t="s">
        <v>173</v>
      </c>
      <c r="F4" s="89" t="s">
        <v>178</v>
      </c>
      <c r="G4" s="81"/>
      <c r="H4" s="89" t="s">
        <v>258</v>
      </c>
      <c r="I4" s="90"/>
      <c r="J4" s="22"/>
    </row>
    <row r="5" spans="1:10" ht="12.75">
      <c r="A5" s="80"/>
      <c r="B5" s="81"/>
      <c r="C5" s="81"/>
      <c r="D5" s="81"/>
      <c r="E5" s="81"/>
      <c r="F5" s="81"/>
      <c r="G5" s="81"/>
      <c r="H5" s="81"/>
      <c r="I5" s="87"/>
      <c r="J5" s="22"/>
    </row>
    <row r="6" spans="1:10" ht="12.75">
      <c r="A6" s="88" t="s">
        <v>3</v>
      </c>
      <c r="B6" s="81"/>
      <c r="C6" s="89" t="s">
        <v>83</v>
      </c>
      <c r="D6" s="81"/>
      <c r="E6" s="89" t="s">
        <v>174</v>
      </c>
      <c r="F6" s="89" t="s">
        <v>179</v>
      </c>
      <c r="G6" s="81"/>
      <c r="H6" s="89" t="s">
        <v>258</v>
      </c>
      <c r="I6" s="90"/>
      <c r="J6" s="22"/>
    </row>
    <row r="7" spans="1:10" ht="12.75">
      <c r="A7" s="80"/>
      <c r="B7" s="81"/>
      <c r="C7" s="81"/>
      <c r="D7" s="81"/>
      <c r="E7" s="81"/>
      <c r="F7" s="81"/>
      <c r="G7" s="81"/>
      <c r="H7" s="81"/>
      <c r="I7" s="87"/>
      <c r="J7" s="22"/>
    </row>
    <row r="8" spans="1:10" ht="12.75">
      <c r="A8" s="88" t="s">
        <v>157</v>
      </c>
      <c r="B8" s="81"/>
      <c r="C8" s="96"/>
      <c r="D8" s="81"/>
      <c r="E8" s="89" t="s">
        <v>158</v>
      </c>
      <c r="F8" s="81"/>
      <c r="G8" s="81"/>
      <c r="H8" s="91" t="s">
        <v>259</v>
      </c>
      <c r="I8" s="90" t="s">
        <v>38</v>
      </c>
      <c r="J8" s="22"/>
    </row>
    <row r="9" spans="1:10" ht="12.75">
      <c r="A9" s="80"/>
      <c r="B9" s="81"/>
      <c r="C9" s="81"/>
      <c r="D9" s="81"/>
      <c r="E9" s="81"/>
      <c r="F9" s="81"/>
      <c r="G9" s="81"/>
      <c r="H9" s="81"/>
      <c r="I9" s="87"/>
      <c r="J9" s="22"/>
    </row>
    <row r="10" spans="1:10" ht="12.75">
      <c r="A10" s="88" t="s">
        <v>4</v>
      </c>
      <c r="B10" s="81"/>
      <c r="C10" s="89">
        <v>8038119</v>
      </c>
      <c r="D10" s="81"/>
      <c r="E10" s="89" t="s">
        <v>175</v>
      </c>
      <c r="F10" s="89" t="s">
        <v>180</v>
      </c>
      <c r="G10" s="81"/>
      <c r="H10" s="91" t="s">
        <v>260</v>
      </c>
      <c r="I10" s="94">
        <v>43130</v>
      </c>
      <c r="J10" s="22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5"/>
      <c r="J11" s="22"/>
    </row>
    <row r="12" spans="1:9" ht="23.25" customHeight="1">
      <c r="A12" s="97" t="s">
        <v>218</v>
      </c>
      <c r="B12" s="98"/>
      <c r="C12" s="98"/>
      <c r="D12" s="98"/>
      <c r="E12" s="98"/>
      <c r="F12" s="98"/>
      <c r="G12" s="98"/>
      <c r="H12" s="98"/>
      <c r="I12" s="98"/>
    </row>
    <row r="13" spans="1:10" ht="26.25" customHeight="1">
      <c r="A13" s="37" t="s">
        <v>219</v>
      </c>
      <c r="B13" s="99" t="s">
        <v>231</v>
      </c>
      <c r="C13" s="100"/>
      <c r="D13" s="37" t="s">
        <v>234</v>
      </c>
      <c r="E13" s="99" t="s">
        <v>243</v>
      </c>
      <c r="F13" s="100"/>
      <c r="G13" s="37" t="s">
        <v>244</v>
      </c>
      <c r="H13" s="99" t="s">
        <v>261</v>
      </c>
      <c r="I13" s="100"/>
      <c r="J13" s="22"/>
    </row>
    <row r="14" spans="1:10" ht="15" customHeight="1">
      <c r="A14" s="38" t="s">
        <v>220</v>
      </c>
      <c r="B14" s="42" t="s">
        <v>232</v>
      </c>
      <c r="C14" s="45">
        <f>SUM('Stavební rozpočet'!R12:R93)</f>
        <v>0</v>
      </c>
      <c r="D14" s="101" t="s">
        <v>235</v>
      </c>
      <c r="E14" s="102"/>
      <c r="F14" s="45">
        <v>0</v>
      </c>
      <c r="G14" s="101" t="s">
        <v>245</v>
      </c>
      <c r="H14" s="102"/>
      <c r="I14" s="45">
        <v>0</v>
      </c>
      <c r="J14" s="22"/>
    </row>
    <row r="15" spans="1:10" ht="15" customHeight="1">
      <c r="A15" s="39"/>
      <c r="B15" s="42" t="s">
        <v>176</v>
      </c>
      <c r="C15" s="45">
        <f>SUM('Stavební rozpočet'!S12:S93)</f>
        <v>0</v>
      </c>
      <c r="D15" s="101" t="s">
        <v>236</v>
      </c>
      <c r="E15" s="102"/>
      <c r="F15" s="45">
        <v>0</v>
      </c>
      <c r="G15" s="101" t="s">
        <v>246</v>
      </c>
      <c r="H15" s="102"/>
      <c r="I15" s="45">
        <v>0</v>
      </c>
      <c r="J15" s="22"/>
    </row>
    <row r="16" spans="1:10" ht="15" customHeight="1">
      <c r="A16" s="38" t="s">
        <v>221</v>
      </c>
      <c r="B16" s="42" t="s">
        <v>232</v>
      </c>
      <c r="C16" s="45">
        <f>SUM('Stavební rozpočet'!T12:T93)</f>
        <v>0</v>
      </c>
      <c r="D16" s="101" t="s">
        <v>237</v>
      </c>
      <c r="E16" s="102"/>
      <c r="F16" s="45">
        <v>0</v>
      </c>
      <c r="G16" s="101" t="s">
        <v>247</v>
      </c>
      <c r="H16" s="102"/>
      <c r="I16" s="45">
        <v>0</v>
      </c>
      <c r="J16" s="22"/>
    </row>
    <row r="17" spans="1:10" ht="15" customHeight="1">
      <c r="A17" s="39"/>
      <c r="B17" s="42" t="s">
        <v>176</v>
      </c>
      <c r="C17" s="45">
        <f>SUM('Stavební rozpočet'!U12:U93)</f>
        <v>0</v>
      </c>
      <c r="D17" s="101"/>
      <c r="E17" s="102"/>
      <c r="F17" s="46"/>
      <c r="G17" s="101" t="s">
        <v>248</v>
      </c>
      <c r="H17" s="102"/>
      <c r="I17" s="45">
        <v>0</v>
      </c>
      <c r="J17" s="22"/>
    </row>
    <row r="18" spans="1:10" ht="15" customHeight="1">
      <c r="A18" s="38" t="s">
        <v>222</v>
      </c>
      <c r="B18" s="42" t="s">
        <v>232</v>
      </c>
      <c r="C18" s="45">
        <f>SUM('Stavební rozpočet'!V12:V93)</f>
        <v>0</v>
      </c>
      <c r="D18" s="101"/>
      <c r="E18" s="102"/>
      <c r="F18" s="46"/>
      <c r="G18" s="101" t="s">
        <v>249</v>
      </c>
      <c r="H18" s="102"/>
      <c r="I18" s="45">
        <v>0</v>
      </c>
      <c r="J18" s="22"/>
    </row>
    <row r="19" spans="1:10" ht="15" customHeight="1">
      <c r="A19" s="39"/>
      <c r="B19" s="42" t="s">
        <v>176</v>
      </c>
      <c r="C19" s="45">
        <f>SUM('Stavební rozpočet'!W12:W93)</f>
        <v>0</v>
      </c>
      <c r="D19" s="101"/>
      <c r="E19" s="102"/>
      <c r="F19" s="46"/>
      <c r="G19" s="101" t="s">
        <v>250</v>
      </c>
      <c r="H19" s="102"/>
      <c r="I19" s="45">
        <v>0</v>
      </c>
      <c r="J19" s="22"/>
    </row>
    <row r="20" spans="1:10" ht="15" customHeight="1">
      <c r="A20" s="103" t="s">
        <v>223</v>
      </c>
      <c r="B20" s="104"/>
      <c r="C20" s="45">
        <f>SUM('Stavební rozpočet'!X12:X93)</f>
        <v>0</v>
      </c>
      <c r="D20" s="101"/>
      <c r="E20" s="102"/>
      <c r="F20" s="46"/>
      <c r="G20" s="101"/>
      <c r="H20" s="102"/>
      <c r="I20" s="46"/>
      <c r="J20" s="22"/>
    </row>
    <row r="21" spans="1:10" ht="15" customHeight="1">
      <c r="A21" s="103" t="s">
        <v>224</v>
      </c>
      <c r="B21" s="104"/>
      <c r="C21" s="45">
        <f>SUM('Stavební rozpočet'!P12:P93)</f>
        <v>0</v>
      </c>
      <c r="D21" s="101"/>
      <c r="E21" s="102"/>
      <c r="F21" s="46"/>
      <c r="G21" s="101"/>
      <c r="H21" s="102"/>
      <c r="I21" s="46"/>
      <c r="J21" s="22"/>
    </row>
    <row r="22" spans="1:10" ht="16.5" customHeight="1">
      <c r="A22" s="103" t="s">
        <v>225</v>
      </c>
      <c r="B22" s="104"/>
      <c r="C22" s="45">
        <f>SUM(C14:C21)</f>
        <v>0</v>
      </c>
      <c r="D22" s="103" t="s">
        <v>238</v>
      </c>
      <c r="E22" s="104"/>
      <c r="F22" s="45">
        <f>SUM(F14:F21)</f>
        <v>0</v>
      </c>
      <c r="G22" s="103" t="s">
        <v>251</v>
      </c>
      <c r="H22" s="104"/>
      <c r="I22" s="45">
        <f>SUM(I14:I21)</f>
        <v>0</v>
      </c>
      <c r="J22" s="22"/>
    </row>
    <row r="23" spans="1:10" ht="15" customHeight="1">
      <c r="A23" s="6"/>
      <c r="B23" s="6"/>
      <c r="C23" s="43"/>
      <c r="D23" s="103" t="s">
        <v>239</v>
      </c>
      <c r="E23" s="104"/>
      <c r="F23" s="47">
        <v>0</v>
      </c>
      <c r="G23" s="103" t="s">
        <v>252</v>
      </c>
      <c r="H23" s="104"/>
      <c r="I23" s="45">
        <v>0</v>
      </c>
      <c r="J23" s="22"/>
    </row>
    <row r="24" spans="4:9" ht="15" customHeight="1">
      <c r="D24" s="6"/>
      <c r="E24" s="6"/>
      <c r="F24" s="48"/>
      <c r="G24" s="103" t="s">
        <v>253</v>
      </c>
      <c r="H24" s="104"/>
      <c r="I24" s="50"/>
    </row>
    <row r="25" spans="6:10" ht="15" customHeight="1">
      <c r="F25" s="49"/>
      <c r="G25" s="103" t="s">
        <v>254</v>
      </c>
      <c r="H25" s="104"/>
      <c r="I25" s="45">
        <v>0</v>
      </c>
      <c r="J25" s="22"/>
    </row>
    <row r="26" spans="1:9" ht="12.75">
      <c r="A26" s="5"/>
      <c r="B26" s="5"/>
      <c r="C26" s="5"/>
      <c r="G26" s="6"/>
      <c r="H26" s="6"/>
      <c r="I26" s="6"/>
    </row>
    <row r="27" spans="1:9" ht="15" customHeight="1">
      <c r="A27" s="105" t="s">
        <v>226</v>
      </c>
      <c r="B27" s="106"/>
      <c r="C27" s="51">
        <f>SUM('Stavební rozpočet'!Z12:Z93)</f>
        <v>0</v>
      </c>
      <c r="D27" s="44"/>
      <c r="E27" s="5"/>
      <c r="F27" s="5"/>
      <c r="G27" s="5"/>
      <c r="H27" s="5"/>
      <c r="I27" s="5"/>
    </row>
    <row r="28" spans="1:10" ht="15" customHeight="1">
      <c r="A28" s="105" t="s">
        <v>227</v>
      </c>
      <c r="B28" s="106"/>
      <c r="C28" s="51">
        <f>SUM('Stavební rozpočet'!AA12:AA93)</f>
        <v>0</v>
      </c>
      <c r="D28" s="105" t="s">
        <v>240</v>
      </c>
      <c r="E28" s="106"/>
      <c r="F28" s="51">
        <f>ROUND(C28*(15/100),2)</f>
        <v>0</v>
      </c>
      <c r="G28" s="105" t="s">
        <v>255</v>
      </c>
      <c r="H28" s="106"/>
      <c r="I28" s="51">
        <f>SUM(C27:C29)</f>
        <v>0</v>
      </c>
      <c r="J28" s="22"/>
    </row>
    <row r="29" spans="1:10" ht="15" customHeight="1">
      <c r="A29" s="105" t="s">
        <v>228</v>
      </c>
      <c r="B29" s="106"/>
      <c r="C29" s="51">
        <f>SUM('Stavební rozpočet'!AB12:AB93)+(F22+I22+F23+I23+I24+I25)</f>
        <v>0</v>
      </c>
      <c r="D29" s="105" t="s">
        <v>241</v>
      </c>
      <c r="E29" s="106"/>
      <c r="F29" s="51">
        <f>ROUND(C29*(21/100),2)</f>
        <v>0</v>
      </c>
      <c r="G29" s="105" t="s">
        <v>256</v>
      </c>
      <c r="H29" s="106"/>
      <c r="I29" s="51">
        <f>SUM(F28:F29)+I28</f>
        <v>0</v>
      </c>
      <c r="J29" s="22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10" ht="14.25" customHeight="1">
      <c r="A31" s="107" t="s">
        <v>229</v>
      </c>
      <c r="B31" s="108"/>
      <c r="C31" s="109"/>
      <c r="D31" s="107" t="s">
        <v>242</v>
      </c>
      <c r="E31" s="108"/>
      <c r="F31" s="109"/>
      <c r="G31" s="107" t="s">
        <v>257</v>
      </c>
      <c r="H31" s="108"/>
      <c r="I31" s="109"/>
      <c r="J31" s="23"/>
    </row>
    <row r="32" spans="1:10" ht="14.25" customHeight="1">
      <c r="A32" s="110"/>
      <c r="B32" s="111"/>
      <c r="C32" s="112"/>
      <c r="D32" s="110"/>
      <c r="E32" s="111"/>
      <c r="F32" s="112"/>
      <c r="G32" s="110"/>
      <c r="H32" s="111"/>
      <c r="I32" s="112"/>
      <c r="J32" s="23"/>
    </row>
    <row r="33" spans="1:10" ht="14.25" customHeight="1">
      <c r="A33" s="110"/>
      <c r="B33" s="111"/>
      <c r="C33" s="112"/>
      <c r="D33" s="110"/>
      <c r="E33" s="111"/>
      <c r="F33" s="112"/>
      <c r="G33" s="110"/>
      <c r="H33" s="111"/>
      <c r="I33" s="112"/>
      <c r="J33" s="23"/>
    </row>
    <row r="34" spans="1:10" ht="14.25" customHeight="1">
      <c r="A34" s="110"/>
      <c r="B34" s="111"/>
      <c r="C34" s="112"/>
      <c r="D34" s="110"/>
      <c r="E34" s="111"/>
      <c r="F34" s="112"/>
      <c r="G34" s="110"/>
      <c r="H34" s="111"/>
      <c r="I34" s="112"/>
      <c r="J34" s="23"/>
    </row>
    <row r="35" spans="1:10" ht="14.25" customHeight="1">
      <c r="A35" s="113" t="s">
        <v>230</v>
      </c>
      <c r="B35" s="114"/>
      <c r="C35" s="115"/>
      <c r="D35" s="113" t="s">
        <v>230</v>
      </c>
      <c r="E35" s="114"/>
      <c r="F35" s="115"/>
      <c r="G35" s="113" t="s">
        <v>230</v>
      </c>
      <c r="H35" s="114"/>
      <c r="I35" s="115"/>
      <c r="J35" s="23"/>
    </row>
    <row r="36" spans="1:9" ht="11.25" customHeight="1">
      <c r="A36" s="41" t="s">
        <v>39</v>
      </c>
      <c r="B36" s="33"/>
      <c r="C36" s="33"/>
      <c r="D36" s="33"/>
      <c r="E36" s="33"/>
      <c r="F36" s="33"/>
      <c r="G36" s="33"/>
      <c r="H36" s="33"/>
      <c r="I36" s="33"/>
    </row>
    <row r="37" spans="1:9" ht="409.5" customHeight="1" hidden="1">
      <c r="A37" s="89"/>
      <c r="B37" s="81"/>
      <c r="C37" s="81"/>
      <c r="D37" s="81"/>
      <c r="E37" s="81"/>
      <c r="F37" s="81"/>
      <c r="G37" s="81"/>
      <c r="H37" s="81"/>
      <c r="I37" s="81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4:H24"/>
    <mergeCell ref="G25:H25"/>
    <mergeCell ref="A27:B27"/>
    <mergeCell ref="A28:B28"/>
    <mergeCell ref="D28:E28"/>
    <mergeCell ref="G28:H28"/>
    <mergeCell ref="A22:B22"/>
    <mergeCell ref="D22:E22"/>
    <mergeCell ref="G22:H22"/>
    <mergeCell ref="D23:E23"/>
    <mergeCell ref="G23:H23"/>
    <mergeCell ref="A20:B20"/>
    <mergeCell ref="D20:E20"/>
    <mergeCell ref="G20:H20"/>
    <mergeCell ref="A21:B21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A12:I12"/>
    <mergeCell ref="B13:C13"/>
    <mergeCell ref="E13:F13"/>
    <mergeCell ref="H13:I13"/>
    <mergeCell ref="H10:H11"/>
    <mergeCell ref="I10:I11"/>
    <mergeCell ref="A8:B9"/>
    <mergeCell ref="C8:D9"/>
    <mergeCell ref="A10:B11"/>
    <mergeCell ref="C10:D11"/>
    <mergeCell ref="E10:E11"/>
    <mergeCell ref="F10:G11"/>
    <mergeCell ref="E8:E9"/>
    <mergeCell ref="F8:G9"/>
    <mergeCell ref="H4:H5"/>
    <mergeCell ref="I4:I5"/>
    <mergeCell ref="H6:H7"/>
    <mergeCell ref="I6:I7"/>
    <mergeCell ref="H8:H9"/>
    <mergeCell ref="I8:I9"/>
    <mergeCell ref="A6:B7"/>
    <mergeCell ref="C6:D7"/>
    <mergeCell ref="E6:E7"/>
    <mergeCell ref="F6:G7"/>
    <mergeCell ref="A4:B5"/>
    <mergeCell ref="C4:D5"/>
    <mergeCell ref="E4:E5"/>
    <mergeCell ref="F4:G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16" t="s">
        <v>212</v>
      </c>
      <c r="B1" s="117"/>
      <c r="C1" s="117"/>
      <c r="D1" s="117"/>
      <c r="E1" s="117"/>
      <c r="F1" s="117"/>
      <c r="G1" s="117"/>
    </row>
    <row r="2" spans="1:8" ht="12.75">
      <c r="A2" s="78" t="s">
        <v>1</v>
      </c>
      <c r="B2" s="82" t="s">
        <v>81</v>
      </c>
      <c r="C2" s="83"/>
      <c r="D2" s="85" t="s">
        <v>172</v>
      </c>
      <c r="E2" s="85" t="s">
        <v>177</v>
      </c>
      <c r="F2" s="79"/>
      <c r="G2" s="118"/>
      <c r="H2" s="22"/>
    </row>
    <row r="3" spans="1:8" ht="12.75">
      <c r="A3" s="80"/>
      <c r="B3" s="84"/>
      <c r="C3" s="84"/>
      <c r="D3" s="81"/>
      <c r="E3" s="81"/>
      <c r="F3" s="81"/>
      <c r="G3" s="87"/>
      <c r="H3" s="22"/>
    </row>
    <row r="4" spans="1:8" ht="12.75">
      <c r="A4" s="88" t="s">
        <v>2</v>
      </c>
      <c r="B4" s="89" t="s">
        <v>82</v>
      </c>
      <c r="C4" s="81"/>
      <c r="D4" s="89" t="s">
        <v>173</v>
      </c>
      <c r="E4" s="89" t="s">
        <v>178</v>
      </c>
      <c r="F4" s="81"/>
      <c r="G4" s="87"/>
      <c r="H4" s="22"/>
    </row>
    <row r="5" spans="1:8" ht="12.75">
      <c r="A5" s="80"/>
      <c r="B5" s="81"/>
      <c r="C5" s="81"/>
      <c r="D5" s="81"/>
      <c r="E5" s="81"/>
      <c r="F5" s="81"/>
      <c r="G5" s="87"/>
      <c r="H5" s="22"/>
    </row>
    <row r="6" spans="1:8" ht="12.75">
      <c r="A6" s="88" t="s">
        <v>3</v>
      </c>
      <c r="B6" s="89" t="s">
        <v>83</v>
      </c>
      <c r="C6" s="81"/>
      <c r="D6" s="89" t="s">
        <v>174</v>
      </c>
      <c r="E6" s="89" t="s">
        <v>179</v>
      </c>
      <c r="F6" s="81"/>
      <c r="G6" s="87"/>
      <c r="H6" s="22"/>
    </row>
    <row r="7" spans="1:8" ht="12.75">
      <c r="A7" s="80"/>
      <c r="B7" s="81"/>
      <c r="C7" s="81"/>
      <c r="D7" s="81"/>
      <c r="E7" s="81"/>
      <c r="F7" s="81"/>
      <c r="G7" s="87"/>
      <c r="H7" s="22"/>
    </row>
    <row r="8" spans="1:8" ht="12.75">
      <c r="A8" s="88" t="s">
        <v>175</v>
      </c>
      <c r="B8" s="89" t="s">
        <v>180</v>
      </c>
      <c r="C8" s="81"/>
      <c r="D8" s="91" t="s">
        <v>159</v>
      </c>
      <c r="E8" s="96">
        <v>43130</v>
      </c>
      <c r="F8" s="81"/>
      <c r="G8" s="87"/>
      <c r="H8" s="22"/>
    </row>
    <row r="9" spans="1:8" ht="12.75">
      <c r="A9" s="119"/>
      <c r="B9" s="120"/>
      <c r="C9" s="120"/>
      <c r="D9" s="120"/>
      <c r="E9" s="120"/>
      <c r="F9" s="120"/>
      <c r="G9" s="121"/>
      <c r="H9" s="22"/>
    </row>
    <row r="10" spans="1:8" ht="12.75">
      <c r="A10" s="28" t="s">
        <v>40</v>
      </c>
      <c r="B10" s="30" t="s">
        <v>41</v>
      </c>
      <c r="C10" s="31" t="s">
        <v>84</v>
      </c>
      <c r="D10" s="32" t="s">
        <v>213</v>
      </c>
      <c r="E10" s="32" t="s">
        <v>214</v>
      </c>
      <c r="F10" s="32" t="s">
        <v>215</v>
      </c>
      <c r="G10" s="35" t="s">
        <v>216</v>
      </c>
      <c r="H10" s="23"/>
    </row>
    <row r="11" spans="1:9" ht="12.75">
      <c r="A11" s="29"/>
      <c r="B11" s="29" t="s">
        <v>42</v>
      </c>
      <c r="C11" s="29" t="s">
        <v>86</v>
      </c>
      <c r="D11" s="33"/>
      <c r="E11" s="33"/>
      <c r="F11" s="36">
        <f aca="true" t="shared" si="0" ref="F11:F18">D11+E11</f>
        <v>0</v>
      </c>
      <c r="G11" s="36">
        <v>0.30306</v>
      </c>
      <c r="H11" s="24" t="s">
        <v>217</v>
      </c>
      <c r="I11" s="24">
        <f aca="true" t="shared" si="1" ref="I11:I18">IF(H11="T",0,F11)</f>
        <v>0</v>
      </c>
    </row>
    <row r="12" spans="1:9" ht="12.75">
      <c r="A12" s="11"/>
      <c r="B12" s="11" t="s">
        <v>44</v>
      </c>
      <c r="C12" s="11" t="s">
        <v>89</v>
      </c>
      <c r="F12" s="24">
        <f t="shared" si="0"/>
        <v>0</v>
      </c>
      <c r="G12" s="24">
        <v>2.27119</v>
      </c>
      <c r="H12" s="24" t="s">
        <v>217</v>
      </c>
      <c r="I12" s="24">
        <f t="shared" si="1"/>
        <v>0</v>
      </c>
    </row>
    <row r="13" spans="1:9" ht="12.75">
      <c r="A13" s="11"/>
      <c r="B13" s="11" t="s">
        <v>55</v>
      </c>
      <c r="C13" s="11" t="s">
        <v>109</v>
      </c>
      <c r="F13" s="24">
        <f t="shared" si="0"/>
        <v>0</v>
      </c>
      <c r="G13" s="24">
        <v>0.05576</v>
      </c>
      <c r="H13" s="24" t="s">
        <v>217</v>
      </c>
      <c r="I13" s="24">
        <f t="shared" si="1"/>
        <v>0</v>
      </c>
    </row>
    <row r="14" spans="1:9" ht="12.75">
      <c r="A14" s="11"/>
      <c r="B14" s="11" t="s">
        <v>58</v>
      </c>
      <c r="C14" s="11" t="s">
        <v>115</v>
      </c>
      <c r="F14" s="24">
        <f t="shared" si="0"/>
        <v>0</v>
      </c>
      <c r="G14" s="24">
        <v>0.01984</v>
      </c>
      <c r="H14" s="24" t="s">
        <v>217</v>
      </c>
      <c r="I14" s="24">
        <f t="shared" si="1"/>
        <v>0</v>
      </c>
    </row>
    <row r="15" spans="1:9" ht="12.75">
      <c r="A15" s="11"/>
      <c r="B15" s="11" t="s">
        <v>60</v>
      </c>
      <c r="C15" s="11" t="s">
        <v>121</v>
      </c>
      <c r="F15" s="24">
        <f t="shared" si="0"/>
        <v>0</v>
      </c>
      <c r="G15" s="24">
        <v>0.00267</v>
      </c>
      <c r="H15" s="24" t="s">
        <v>217</v>
      </c>
      <c r="I15" s="24">
        <f t="shared" si="1"/>
        <v>0</v>
      </c>
    </row>
    <row r="16" spans="1:9" ht="12.75">
      <c r="A16" s="11"/>
      <c r="B16" s="11" t="s">
        <v>62</v>
      </c>
      <c r="C16" s="11" t="s">
        <v>124</v>
      </c>
      <c r="F16" s="24">
        <f t="shared" si="0"/>
        <v>0</v>
      </c>
      <c r="G16" s="24">
        <v>1.59748</v>
      </c>
      <c r="H16" s="24" t="s">
        <v>217</v>
      </c>
      <c r="I16" s="24">
        <f t="shared" si="1"/>
        <v>0</v>
      </c>
    </row>
    <row r="17" spans="1:9" ht="12.75">
      <c r="A17" s="11"/>
      <c r="B17" s="11" t="s">
        <v>71</v>
      </c>
      <c r="C17" s="11" t="s">
        <v>143</v>
      </c>
      <c r="F17" s="24">
        <f t="shared" si="0"/>
        <v>0</v>
      </c>
      <c r="G17" s="24">
        <v>0</v>
      </c>
      <c r="H17" s="24" t="s">
        <v>217</v>
      </c>
      <c r="I17" s="24">
        <f t="shared" si="1"/>
        <v>0</v>
      </c>
    </row>
    <row r="18" spans="1:9" ht="12.75">
      <c r="A18" s="11"/>
      <c r="B18" s="11" t="s">
        <v>73</v>
      </c>
      <c r="C18" s="11" t="s">
        <v>146</v>
      </c>
      <c r="F18" s="24">
        <f t="shared" si="0"/>
        <v>0</v>
      </c>
      <c r="G18" s="24">
        <v>0</v>
      </c>
      <c r="H18" s="24" t="s">
        <v>217</v>
      </c>
      <c r="I18" s="24">
        <f t="shared" si="1"/>
        <v>0</v>
      </c>
    </row>
    <row r="20" spans="5:6" ht="12.75">
      <c r="E20" s="34" t="s">
        <v>171</v>
      </c>
      <c r="F20" s="27">
        <f>SUM(I11:I18)</f>
        <v>0</v>
      </c>
    </row>
  </sheetData>
  <mergeCells count="17">
    <mergeCell ref="A8:A9"/>
    <mergeCell ref="B8:C9"/>
    <mergeCell ref="D8:D9"/>
    <mergeCell ref="E8:G9"/>
    <mergeCell ref="A6:A7"/>
    <mergeCell ref="B6:C7"/>
    <mergeCell ref="D6:D7"/>
    <mergeCell ref="E6:G7"/>
    <mergeCell ref="A4:A5"/>
    <mergeCell ref="B4:C5"/>
    <mergeCell ref="D4:D5"/>
    <mergeCell ref="E4:G5"/>
    <mergeCell ref="A1:G1"/>
    <mergeCell ref="A2:A3"/>
    <mergeCell ref="B2:C3"/>
    <mergeCell ref="D2:D3"/>
    <mergeCell ref="E2:G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6"/>
  <sheetViews>
    <sheetView tabSelected="1" workbookViewId="0" topLeftCell="A52">
      <selection activeCell="G40" sqref="G4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5.7109375" style="0" customWidth="1"/>
    <col min="4" max="4" width="104.57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7109375" style="0" hidden="1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4" ht="12.75">
      <c r="A2" s="78" t="s">
        <v>1</v>
      </c>
      <c r="B2" s="79"/>
      <c r="C2" s="79"/>
      <c r="D2" s="82" t="s">
        <v>81</v>
      </c>
      <c r="E2" s="122" t="s">
        <v>156</v>
      </c>
      <c r="F2" s="79"/>
      <c r="G2" s="122"/>
      <c r="H2" s="79"/>
      <c r="I2" s="85" t="s">
        <v>172</v>
      </c>
      <c r="J2" s="85" t="s">
        <v>177</v>
      </c>
      <c r="K2" s="79"/>
      <c r="L2" s="79"/>
      <c r="M2" s="118"/>
      <c r="N2" s="22"/>
    </row>
    <row r="3" spans="1:14" ht="12.75">
      <c r="A3" s="80"/>
      <c r="B3" s="81"/>
      <c r="C3" s="81"/>
      <c r="D3" s="84"/>
      <c r="E3" s="81"/>
      <c r="F3" s="81"/>
      <c r="G3" s="81"/>
      <c r="H3" s="81"/>
      <c r="I3" s="81"/>
      <c r="J3" s="81"/>
      <c r="K3" s="81"/>
      <c r="L3" s="81"/>
      <c r="M3" s="87"/>
      <c r="N3" s="22"/>
    </row>
    <row r="4" spans="1:14" ht="12.75">
      <c r="A4" s="88" t="s">
        <v>2</v>
      </c>
      <c r="B4" s="81"/>
      <c r="C4" s="81"/>
      <c r="D4" s="89" t="s">
        <v>82</v>
      </c>
      <c r="E4" s="91" t="s">
        <v>157</v>
      </c>
      <c r="F4" s="81"/>
      <c r="G4" s="96">
        <v>43160</v>
      </c>
      <c r="H4" s="81"/>
      <c r="I4" s="89" t="s">
        <v>173</v>
      </c>
      <c r="J4" s="89" t="s">
        <v>178</v>
      </c>
      <c r="K4" s="81"/>
      <c r="L4" s="81"/>
      <c r="M4" s="87"/>
      <c r="N4" s="22"/>
    </row>
    <row r="5" spans="1:14" ht="12.7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7"/>
      <c r="N5" s="22"/>
    </row>
    <row r="6" spans="1:14" ht="12.75">
      <c r="A6" s="88" t="s">
        <v>3</v>
      </c>
      <c r="B6" s="81"/>
      <c r="C6" s="81"/>
      <c r="D6" s="89" t="s">
        <v>83</v>
      </c>
      <c r="E6" s="91" t="s">
        <v>158</v>
      </c>
      <c r="F6" s="81"/>
      <c r="G6" s="81"/>
      <c r="H6" s="81"/>
      <c r="I6" s="89" t="s">
        <v>174</v>
      </c>
      <c r="J6" s="89" t="s">
        <v>179</v>
      </c>
      <c r="K6" s="81"/>
      <c r="L6" s="81"/>
      <c r="M6" s="87"/>
      <c r="N6" s="22"/>
    </row>
    <row r="7" spans="1:14" ht="12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7"/>
      <c r="N7" s="22"/>
    </row>
    <row r="8" spans="1:14" ht="12.75">
      <c r="A8" s="88" t="s">
        <v>4</v>
      </c>
      <c r="B8" s="81"/>
      <c r="C8" s="81"/>
      <c r="D8" s="89">
        <v>8038119</v>
      </c>
      <c r="E8" s="91" t="s">
        <v>159</v>
      </c>
      <c r="F8" s="81"/>
      <c r="G8" s="96">
        <v>43130</v>
      </c>
      <c r="H8" s="81"/>
      <c r="I8" s="89" t="s">
        <v>175</v>
      </c>
      <c r="J8" s="89" t="s">
        <v>180</v>
      </c>
      <c r="K8" s="81"/>
      <c r="L8" s="81"/>
      <c r="M8" s="87"/>
      <c r="N8" s="22"/>
    </row>
    <row r="9" spans="1:14" ht="12.7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  <c r="N9" s="22"/>
    </row>
    <row r="10" spans="1:14" ht="12.75">
      <c r="A10" s="2" t="s">
        <v>5</v>
      </c>
      <c r="B10" s="7" t="s">
        <v>40</v>
      </c>
      <c r="C10" s="7" t="s">
        <v>41</v>
      </c>
      <c r="D10" s="7" t="s">
        <v>84</v>
      </c>
      <c r="E10" s="7" t="s">
        <v>160</v>
      </c>
      <c r="F10" s="12" t="s">
        <v>166</v>
      </c>
      <c r="G10" s="13" t="s">
        <v>167</v>
      </c>
      <c r="H10" s="123" t="s">
        <v>169</v>
      </c>
      <c r="I10" s="124"/>
      <c r="J10" s="125"/>
      <c r="K10" s="123" t="s">
        <v>182</v>
      </c>
      <c r="L10" s="125"/>
      <c r="M10" s="20" t="s">
        <v>183</v>
      </c>
      <c r="N10" s="23"/>
    </row>
    <row r="11" spans="1:24" ht="12.75">
      <c r="A11" s="3" t="s">
        <v>6</v>
      </c>
      <c r="B11" s="8" t="s">
        <v>6</v>
      </c>
      <c r="C11" s="8" t="s">
        <v>6</v>
      </c>
      <c r="D11" s="10" t="s">
        <v>85</v>
      </c>
      <c r="E11" s="8" t="s">
        <v>6</v>
      </c>
      <c r="F11" s="8" t="s">
        <v>6</v>
      </c>
      <c r="G11" s="14" t="s">
        <v>168</v>
      </c>
      <c r="H11" s="15" t="s">
        <v>170</v>
      </c>
      <c r="I11" s="16" t="s">
        <v>176</v>
      </c>
      <c r="J11" s="17" t="s">
        <v>181</v>
      </c>
      <c r="K11" s="15" t="s">
        <v>167</v>
      </c>
      <c r="L11" s="17" t="s">
        <v>181</v>
      </c>
      <c r="M11" s="21" t="s">
        <v>184</v>
      </c>
      <c r="N11" s="23"/>
      <c r="P11" s="19" t="s">
        <v>188</v>
      </c>
      <c r="Q11" s="19" t="s">
        <v>189</v>
      </c>
      <c r="R11" s="19" t="s">
        <v>193</v>
      </c>
      <c r="S11" s="19" t="s">
        <v>194</v>
      </c>
      <c r="T11" s="19" t="s">
        <v>195</v>
      </c>
      <c r="U11" s="19" t="s">
        <v>196</v>
      </c>
      <c r="V11" s="19" t="s">
        <v>197</v>
      </c>
      <c r="W11" s="19" t="s">
        <v>198</v>
      </c>
      <c r="X11" s="19" t="s">
        <v>199</v>
      </c>
    </row>
    <row r="12" spans="1:37" ht="12.75">
      <c r="A12" s="4"/>
      <c r="B12" s="9"/>
      <c r="C12" s="9" t="s">
        <v>42</v>
      </c>
      <c r="D12" s="126" t="s">
        <v>86</v>
      </c>
      <c r="E12" s="127"/>
      <c r="F12" s="127"/>
      <c r="G12" s="127"/>
      <c r="H12" s="25">
        <f>SUM(H13:H13)</f>
        <v>0</v>
      </c>
      <c r="I12" s="25">
        <f>SUM(I13:I13)</f>
        <v>0</v>
      </c>
      <c r="J12" s="25">
        <f>H12+I12</f>
        <v>0</v>
      </c>
      <c r="K12" s="18"/>
      <c r="L12" s="25">
        <f>SUM(L13:L13)</f>
        <v>0.3030641</v>
      </c>
      <c r="M12" s="18"/>
      <c r="P12" s="26">
        <f>IF(Q12="PR",J12,SUM(O13:O13))</f>
        <v>0</v>
      </c>
      <c r="Q12" s="19" t="s">
        <v>190</v>
      </c>
      <c r="R12" s="26">
        <f>IF(Q12="HS",H12,0)</f>
        <v>0</v>
      </c>
      <c r="S12" s="26">
        <f>IF(Q12="HS",I12-P12,0)</f>
        <v>0</v>
      </c>
      <c r="T12" s="26">
        <f>IF(Q12="PS",H12,0)</f>
        <v>0</v>
      </c>
      <c r="U12" s="26">
        <f>IF(Q12="PS",I12-P12,0)</f>
        <v>0</v>
      </c>
      <c r="V12" s="26">
        <f>IF(Q12="MP",H12,0)</f>
        <v>0</v>
      </c>
      <c r="W12" s="26">
        <f>IF(Q12="MP",I12-P12,0)</f>
        <v>0</v>
      </c>
      <c r="X12" s="26">
        <f>IF(Q12="OM",H12,0)</f>
        <v>0</v>
      </c>
      <c r="Y12" s="19"/>
      <c r="AI12" s="26">
        <f>SUM(Z13:Z13)</f>
        <v>0</v>
      </c>
      <c r="AJ12" s="26">
        <f>SUM(AA13:AA13)</f>
        <v>0</v>
      </c>
      <c r="AK12" s="26">
        <f>SUM(AB13:AB13)</f>
        <v>0</v>
      </c>
    </row>
    <row r="13" spans="1:43" s="56" customFormat="1" ht="33.75" customHeight="1">
      <c r="A13" s="53" t="s">
        <v>7</v>
      </c>
      <c r="B13" s="53"/>
      <c r="C13" s="53" t="s">
        <v>43</v>
      </c>
      <c r="D13" s="53" t="s">
        <v>87</v>
      </c>
      <c r="E13" s="53" t="s">
        <v>161</v>
      </c>
      <c r="F13" s="54">
        <v>5.29</v>
      </c>
      <c r="G13" s="54">
        <v>0</v>
      </c>
      <c r="H13" s="54">
        <f>ROUND(F13*AE13,2)</f>
        <v>0</v>
      </c>
      <c r="I13" s="54">
        <f>J13-H13</f>
        <v>0</v>
      </c>
      <c r="J13" s="54">
        <f>ROUND(F13*G13,2)</f>
        <v>0</v>
      </c>
      <c r="K13" s="54">
        <v>0.05729</v>
      </c>
      <c r="L13" s="54">
        <f>F13*K13</f>
        <v>0.3030641</v>
      </c>
      <c r="M13" s="55" t="s">
        <v>185</v>
      </c>
      <c r="N13" s="55" t="s">
        <v>7</v>
      </c>
      <c r="O13" s="54">
        <f>IF(N13="5",I13,0)</f>
        <v>0</v>
      </c>
      <c r="Z13" s="54">
        <f>IF(AD13=0,J13,0)</f>
        <v>0</v>
      </c>
      <c r="AA13" s="54">
        <f>IF(AD13=15,J13,0)</f>
        <v>0</v>
      </c>
      <c r="AB13" s="54">
        <f>IF(AD13=21,J13,0)</f>
        <v>0</v>
      </c>
      <c r="AD13" s="57">
        <v>21</v>
      </c>
      <c r="AE13" s="57">
        <f>G13*0.207738231917336</f>
        <v>0</v>
      </c>
      <c r="AF13" s="57">
        <f>G13*(1-0.207738231917336)</f>
        <v>0</v>
      </c>
      <c r="AM13" s="57">
        <f>F13*AE13</f>
        <v>0</v>
      </c>
      <c r="AN13" s="57">
        <f>F13*AF13</f>
        <v>0</v>
      </c>
      <c r="AO13" s="58" t="s">
        <v>200</v>
      </c>
      <c r="AP13" s="58" t="s">
        <v>208</v>
      </c>
      <c r="AQ13" s="59" t="s">
        <v>211</v>
      </c>
    </row>
    <row r="14" spans="4:6" s="56" customFormat="1" ht="33.75" customHeight="1">
      <c r="D14" s="60" t="s">
        <v>88</v>
      </c>
      <c r="F14" s="61">
        <v>5.29</v>
      </c>
    </row>
    <row r="15" spans="1:37" s="56" customFormat="1" ht="33.75" customHeight="1">
      <c r="A15" s="62"/>
      <c r="B15" s="63"/>
      <c r="C15" s="63" t="s">
        <v>44</v>
      </c>
      <c r="D15" s="128" t="s">
        <v>89</v>
      </c>
      <c r="E15" s="129"/>
      <c r="F15" s="129"/>
      <c r="G15" s="129"/>
      <c r="H15" s="64">
        <f>SUM(H16:H39)</f>
        <v>0</v>
      </c>
      <c r="I15" s="64">
        <f>SUM(I16:I39)</f>
        <v>0</v>
      </c>
      <c r="J15" s="64">
        <f>H15+I15</f>
        <v>0</v>
      </c>
      <c r="K15" s="59"/>
      <c r="L15" s="64">
        <f>SUM(L16:L39)</f>
        <v>2.271188</v>
      </c>
      <c r="M15" s="59"/>
      <c r="P15" s="64">
        <f>IF(Q15="PR",J15,SUM(O16:O39))</f>
        <v>0</v>
      </c>
      <c r="Q15" s="59" t="s">
        <v>190</v>
      </c>
      <c r="R15" s="64">
        <f>IF(Q15="HS",H15,0)</f>
        <v>0</v>
      </c>
      <c r="S15" s="64">
        <f>IF(Q15="HS",I15-P15,0)</f>
        <v>0</v>
      </c>
      <c r="T15" s="64">
        <f>IF(Q15="PS",H15,0)</f>
        <v>0</v>
      </c>
      <c r="U15" s="64">
        <f>IF(Q15="PS",I15-P15,0)</f>
        <v>0</v>
      </c>
      <c r="V15" s="64">
        <f>IF(Q15="MP",H15,0)</f>
        <v>0</v>
      </c>
      <c r="W15" s="64">
        <f>IF(Q15="MP",I15-P15,0)</f>
        <v>0</v>
      </c>
      <c r="X15" s="64">
        <f>IF(Q15="OM",H15,0)</f>
        <v>0</v>
      </c>
      <c r="Y15" s="59"/>
      <c r="AI15" s="64">
        <f>SUM(Z16:Z39)</f>
        <v>0</v>
      </c>
      <c r="AJ15" s="64">
        <f>SUM(AA16:AA39)</f>
        <v>0</v>
      </c>
      <c r="AK15" s="64">
        <f>SUM(AB16:AB39)</f>
        <v>0</v>
      </c>
    </row>
    <row r="16" spans="1:43" s="56" customFormat="1" ht="33.75" customHeight="1">
      <c r="A16" s="53" t="s">
        <v>8</v>
      </c>
      <c r="B16" s="53"/>
      <c r="C16" s="53" t="s">
        <v>45</v>
      </c>
      <c r="D16" s="53" t="s">
        <v>90</v>
      </c>
      <c r="E16" s="53" t="s">
        <v>162</v>
      </c>
      <c r="F16" s="54">
        <v>2</v>
      </c>
      <c r="G16" s="54">
        <v>0</v>
      </c>
      <c r="H16" s="54">
        <f>ROUND(F16*AE16,2)</f>
        <v>0</v>
      </c>
      <c r="I16" s="54">
        <f>J16-H16</f>
        <v>0</v>
      </c>
      <c r="J16" s="54">
        <f>ROUND(F16*G16,2)</f>
        <v>0</v>
      </c>
      <c r="K16" s="54">
        <v>0.0603</v>
      </c>
      <c r="L16" s="54">
        <f>F16*K16</f>
        <v>0.1206</v>
      </c>
      <c r="M16" s="55" t="s">
        <v>185</v>
      </c>
      <c r="N16" s="55" t="s">
        <v>7</v>
      </c>
      <c r="O16" s="54">
        <f>IF(N16="5",I16,0)</f>
        <v>0</v>
      </c>
      <c r="Z16" s="54">
        <f>IF(AD16=0,J16,0)</f>
        <v>0</v>
      </c>
      <c r="AA16" s="54">
        <f>IF(AD16=15,J16,0)</f>
        <v>0</v>
      </c>
      <c r="AB16" s="54">
        <f>IF(AD16=21,J16,0)</f>
        <v>0</v>
      </c>
      <c r="AD16" s="57">
        <v>21</v>
      </c>
      <c r="AE16" s="57">
        <f>G16*0.164054054054054</f>
        <v>0</v>
      </c>
      <c r="AF16" s="57">
        <f>G16*(1-0.164054054054054)</f>
        <v>0</v>
      </c>
      <c r="AM16" s="57">
        <f>F16*AE16</f>
        <v>0</v>
      </c>
      <c r="AN16" s="57">
        <f>F16*AF16</f>
        <v>0</v>
      </c>
      <c r="AO16" s="58" t="s">
        <v>201</v>
      </c>
      <c r="AP16" s="58" t="s">
        <v>208</v>
      </c>
      <c r="AQ16" s="59" t="s">
        <v>211</v>
      </c>
    </row>
    <row r="17" spans="4:6" s="56" customFormat="1" ht="33.75" customHeight="1">
      <c r="D17" s="60" t="s">
        <v>91</v>
      </c>
      <c r="F17" s="61">
        <v>2</v>
      </c>
    </row>
    <row r="18" spans="3:13" s="56" customFormat="1" ht="45" customHeight="1">
      <c r="C18" s="65" t="s">
        <v>39</v>
      </c>
      <c r="D18" s="130" t="s">
        <v>92</v>
      </c>
      <c r="E18" s="130"/>
      <c r="F18" s="130"/>
      <c r="G18" s="130"/>
      <c r="H18" s="130"/>
      <c r="I18" s="130"/>
      <c r="J18" s="130"/>
      <c r="K18" s="130"/>
      <c r="L18" s="130"/>
      <c r="M18" s="130"/>
    </row>
    <row r="19" spans="1:43" s="56" customFormat="1" ht="33.75" customHeight="1">
      <c r="A19" s="66" t="s">
        <v>9</v>
      </c>
      <c r="B19" s="66"/>
      <c r="C19" s="66" t="s">
        <v>46</v>
      </c>
      <c r="D19" s="66" t="s">
        <v>93</v>
      </c>
      <c r="E19" s="66" t="s">
        <v>162</v>
      </c>
      <c r="F19" s="67">
        <v>2</v>
      </c>
      <c r="G19" s="67">
        <v>0</v>
      </c>
      <c r="H19" s="67">
        <f>ROUND(F19*AE19,2)</f>
        <v>0</v>
      </c>
      <c r="I19" s="67">
        <f>J19-H19</f>
        <v>0</v>
      </c>
      <c r="J19" s="67">
        <f>ROUND(F19*G19,2)</f>
        <v>0</v>
      </c>
      <c r="K19" s="67">
        <v>0.204</v>
      </c>
      <c r="L19" s="67">
        <f>F19*K19</f>
        <v>0.408</v>
      </c>
      <c r="M19" s="68" t="s">
        <v>185</v>
      </c>
      <c r="N19" s="68" t="s">
        <v>187</v>
      </c>
      <c r="O19" s="67">
        <f>IF(N19="5",I19,0)</f>
        <v>0</v>
      </c>
      <c r="Z19" s="67">
        <f>IF(AD19=0,J19,0)</f>
        <v>0</v>
      </c>
      <c r="AA19" s="67">
        <f>IF(AD19=15,J19,0)</f>
        <v>0</v>
      </c>
      <c r="AB19" s="67">
        <f>IF(AD19=21,J19,0)</f>
        <v>0</v>
      </c>
      <c r="AD19" s="57">
        <v>21</v>
      </c>
      <c r="AE19" s="57">
        <f>G19*1</f>
        <v>0</v>
      </c>
      <c r="AF19" s="57">
        <f>G19*(1-1)</f>
        <v>0</v>
      </c>
      <c r="AM19" s="57">
        <f>F19*AE19</f>
        <v>0</v>
      </c>
      <c r="AN19" s="57">
        <f>F19*AF19</f>
        <v>0</v>
      </c>
      <c r="AO19" s="58" t="s">
        <v>201</v>
      </c>
      <c r="AP19" s="58" t="s">
        <v>208</v>
      </c>
      <c r="AQ19" s="59" t="s">
        <v>211</v>
      </c>
    </row>
    <row r="20" spans="4:6" s="56" customFormat="1" ht="33.75" customHeight="1">
      <c r="D20" s="60" t="s">
        <v>91</v>
      </c>
      <c r="F20" s="61">
        <v>2</v>
      </c>
    </row>
    <row r="21" spans="3:13" s="56" customFormat="1" ht="33.75" customHeight="1">
      <c r="C21" s="65" t="s">
        <v>39</v>
      </c>
      <c r="D21" s="130" t="s">
        <v>94</v>
      </c>
      <c r="E21" s="130"/>
      <c r="F21" s="130"/>
      <c r="G21" s="130"/>
      <c r="H21" s="130"/>
      <c r="I21" s="130"/>
      <c r="J21" s="130"/>
      <c r="K21" s="130"/>
      <c r="L21" s="130"/>
      <c r="M21" s="130"/>
    </row>
    <row r="22" spans="1:43" s="56" customFormat="1" ht="33.75" customHeight="1">
      <c r="A22" s="53" t="s">
        <v>10</v>
      </c>
      <c r="B22" s="53"/>
      <c r="C22" s="53" t="s">
        <v>47</v>
      </c>
      <c r="D22" s="53" t="s">
        <v>95</v>
      </c>
      <c r="E22" s="53" t="s">
        <v>162</v>
      </c>
      <c r="F22" s="54">
        <v>1</v>
      </c>
      <c r="G22" s="54">
        <v>0</v>
      </c>
      <c r="H22" s="54">
        <f>ROUND(F22*AE22,2)</f>
        <v>0</v>
      </c>
      <c r="I22" s="54">
        <f>J22-H22</f>
        <v>0</v>
      </c>
      <c r="J22" s="54">
        <f>ROUND(F22*G22,2)</f>
        <v>0</v>
      </c>
      <c r="K22" s="54">
        <v>0.28</v>
      </c>
      <c r="L22" s="54">
        <f>F22*K22</f>
        <v>0.28</v>
      </c>
      <c r="M22" s="55" t="s">
        <v>185</v>
      </c>
      <c r="N22" s="55" t="s">
        <v>7</v>
      </c>
      <c r="O22" s="54">
        <f>IF(N22="5",I22,0)</f>
        <v>0</v>
      </c>
      <c r="Z22" s="54">
        <f>IF(AD22=0,J22,0)</f>
        <v>0</v>
      </c>
      <c r="AA22" s="54">
        <f>IF(AD22=15,J22,0)</f>
        <v>0</v>
      </c>
      <c r="AB22" s="54">
        <f>IF(AD22=21,J22,0)</f>
        <v>0</v>
      </c>
      <c r="AD22" s="57">
        <v>21</v>
      </c>
      <c r="AE22" s="57">
        <f>G22*0.106113989637306</f>
        <v>0</v>
      </c>
      <c r="AF22" s="57">
        <f>G22*(1-0.106113989637306)</f>
        <v>0</v>
      </c>
      <c r="AM22" s="57">
        <f>F22*AE22</f>
        <v>0</v>
      </c>
      <c r="AN22" s="57">
        <f>F22*AF22</f>
        <v>0</v>
      </c>
      <c r="AO22" s="58" t="s">
        <v>201</v>
      </c>
      <c r="AP22" s="58" t="s">
        <v>208</v>
      </c>
      <c r="AQ22" s="59" t="s">
        <v>211</v>
      </c>
    </row>
    <row r="23" spans="4:6" s="56" customFormat="1" ht="33.75" customHeight="1">
      <c r="D23" s="60" t="s">
        <v>96</v>
      </c>
      <c r="F23" s="61">
        <v>1</v>
      </c>
    </row>
    <row r="24" spans="1:43" s="56" customFormat="1" ht="33.75" customHeight="1">
      <c r="A24" s="66" t="s">
        <v>11</v>
      </c>
      <c r="B24" s="66"/>
      <c r="C24" s="66" t="s">
        <v>48</v>
      </c>
      <c r="D24" s="66" t="s">
        <v>97</v>
      </c>
      <c r="E24" s="66" t="s">
        <v>163</v>
      </c>
      <c r="F24" s="67">
        <v>1</v>
      </c>
      <c r="G24" s="67">
        <v>0</v>
      </c>
      <c r="H24" s="67">
        <f>ROUND(F24*AE24,2)</f>
        <v>0</v>
      </c>
      <c r="I24" s="67">
        <f>J24-H24</f>
        <v>0</v>
      </c>
      <c r="J24" s="67">
        <f>ROUND(F24*G24,2)</f>
        <v>0</v>
      </c>
      <c r="K24" s="67">
        <v>0.874</v>
      </c>
      <c r="L24" s="67">
        <f>F24*K24</f>
        <v>0.874</v>
      </c>
      <c r="M24" s="68" t="s">
        <v>185</v>
      </c>
      <c r="N24" s="68" t="s">
        <v>187</v>
      </c>
      <c r="O24" s="67">
        <f>IF(N24="5",I24,0)</f>
        <v>0</v>
      </c>
      <c r="Z24" s="67">
        <f>IF(AD24=0,J24,0)</f>
        <v>0</v>
      </c>
      <c r="AA24" s="67">
        <f>IF(AD24=15,J24,0)</f>
        <v>0</v>
      </c>
      <c r="AB24" s="67">
        <f>IF(AD24=21,J24,0)</f>
        <v>0</v>
      </c>
      <c r="AD24" s="57">
        <v>21</v>
      </c>
      <c r="AE24" s="57">
        <f>G24*1</f>
        <v>0</v>
      </c>
      <c r="AF24" s="57">
        <f>G24*(1-1)</f>
        <v>0</v>
      </c>
      <c r="AM24" s="57">
        <f>F24*AE24</f>
        <v>0</v>
      </c>
      <c r="AN24" s="57">
        <f>F24*AF24</f>
        <v>0</v>
      </c>
      <c r="AO24" s="58" t="s">
        <v>201</v>
      </c>
      <c r="AP24" s="58" t="s">
        <v>208</v>
      </c>
      <c r="AQ24" s="59" t="s">
        <v>211</v>
      </c>
    </row>
    <row r="25" spans="4:6" s="56" customFormat="1" ht="33.75" customHeight="1">
      <c r="D25" s="60" t="s">
        <v>96</v>
      </c>
      <c r="F25" s="61">
        <v>1</v>
      </c>
    </row>
    <row r="26" spans="3:13" s="56" customFormat="1" ht="33.75" customHeight="1">
      <c r="C26" s="65" t="s">
        <v>39</v>
      </c>
      <c r="D26" s="130" t="s">
        <v>98</v>
      </c>
      <c r="E26" s="130"/>
      <c r="F26" s="130"/>
      <c r="G26" s="130"/>
      <c r="H26" s="130"/>
      <c r="I26" s="130"/>
      <c r="J26" s="130"/>
      <c r="K26" s="130"/>
      <c r="L26" s="130"/>
      <c r="M26" s="130"/>
    </row>
    <row r="27" spans="1:43" s="56" customFormat="1" ht="33.75" customHeight="1">
      <c r="A27" s="53" t="s">
        <v>12</v>
      </c>
      <c r="B27" s="53"/>
      <c r="C27" s="53" t="s">
        <v>49</v>
      </c>
      <c r="D27" s="53" t="s">
        <v>99</v>
      </c>
      <c r="E27" s="53" t="s">
        <v>162</v>
      </c>
      <c r="F27" s="54">
        <v>1</v>
      </c>
      <c r="G27" s="54">
        <v>0</v>
      </c>
      <c r="H27" s="54">
        <f>ROUND(F27*AE27,2)</f>
        <v>0</v>
      </c>
      <c r="I27" s="54">
        <f>J27-H27</f>
        <v>0</v>
      </c>
      <c r="J27" s="54">
        <f>ROUND(F27*G27,2)</f>
        <v>0</v>
      </c>
      <c r="K27" s="54">
        <v>0.06272</v>
      </c>
      <c r="L27" s="54">
        <f>F27*K27</f>
        <v>0.06272</v>
      </c>
      <c r="M27" s="55" t="s">
        <v>185</v>
      </c>
      <c r="N27" s="55" t="s">
        <v>7</v>
      </c>
      <c r="O27" s="54">
        <f>IF(N27="5",I27,0)</f>
        <v>0</v>
      </c>
      <c r="Z27" s="54">
        <f>IF(AD27=0,J27,0)</f>
        <v>0</v>
      </c>
      <c r="AA27" s="54">
        <f>IF(AD27=15,J27,0)</f>
        <v>0</v>
      </c>
      <c r="AB27" s="54">
        <f>IF(AD27=21,J27,0)</f>
        <v>0</v>
      </c>
      <c r="AD27" s="57">
        <v>21</v>
      </c>
      <c r="AE27" s="57">
        <f>G27*0.0679594154241138</f>
        <v>0</v>
      </c>
      <c r="AF27" s="57">
        <f>G27*(1-0.0679594154241138)</f>
        <v>0</v>
      </c>
      <c r="AM27" s="57">
        <f>F27*AE27</f>
        <v>0</v>
      </c>
      <c r="AN27" s="57">
        <f>F27*AF27</f>
        <v>0</v>
      </c>
      <c r="AO27" s="58" t="s">
        <v>201</v>
      </c>
      <c r="AP27" s="58" t="s">
        <v>208</v>
      </c>
      <c r="AQ27" s="59" t="s">
        <v>211</v>
      </c>
    </row>
    <row r="28" spans="4:6" s="56" customFormat="1" ht="33.75" customHeight="1">
      <c r="D28" s="60" t="s">
        <v>96</v>
      </c>
      <c r="F28" s="61">
        <v>1</v>
      </c>
    </row>
    <row r="29" spans="1:43" s="56" customFormat="1" ht="33.75" customHeight="1">
      <c r="A29" s="66" t="s">
        <v>13</v>
      </c>
      <c r="B29" s="66"/>
      <c r="C29" s="66" t="s">
        <v>50</v>
      </c>
      <c r="D29" s="66" t="s">
        <v>100</v>
      </c>
      <c r="E29" s="66" t="s">
        <v>162</v>
      </c>
      <c r="F29" s="67">
        <v>1</v>
      </c>
      <c r="G29" s="67">
        <v>0</v>
      </c>
      <c r="H29" s="67">
        <f>ROUND(F29*AE29,2)</f>
        <v>0</v>
      </c>
      <c r="I29" s="67">
        <f>J29-H29</f>
        <v>0</v>
      </c>
      <c r="J29" s="67">
        <f>ROUND(F29*G29,2)</f>
        <v>0</v>
      </c>
      <c r="K29" s="67">
        <v>0.154</v>
      </c>
      <c r="L29" s="67">
        <f>F29*K29</f>
        <v>0.154</v>
      </c>
      <c r="M29" s="68" t="s">
        <v>185</v>
      </c>
      <c r="N29" s="68" t="s">
        <v>187</v>
      </c>
      <c r="O29" s="67">
        <f>IF(N29="5",I29,0)</f>
        <v>0</v>
      </c>
      <c r="Z29" s="67">
        <f>IF(AD29=0,J29,0)</f>
        <v>0</v>
      </c>
      <c r="AA29" s="67">
        <f>IF(AD29=15,J29,0)</f>
        <v>0</v>
      </c>
      <c r="AB29" s="67">
        <f>IF(AD29=21,J29,0)</f>
        <v>0</v>
      </c>
      <c r="AD29" s="57">
        <v>21</v>
      </c>
      <c r="AE29" s="57">
        <f>G29*1</f>
        <v>0</v>
      </c>
      <c r="AF29" s="57">
        <f>G29*(1-1)</f>
        <v>0</v>
      </c>
      <c r="AM29" s="57">
        <f>F29*AE29</f>
        <v>0</v>
      </c>
      <c r="AN29" s="57">
        <f>F29*AF29</f>
        <v>0</v>
      </c>
      <c r="AO29" s="58" t="s">
        <v>201</v>
      </c>
      <c r="AP29" s="58" t="s">
        <v>208</v>
      </c>
      <c r="AQ29" s="59" t="s">
        <v>211</v>
      </c>
    </row>
    <row r="30" spans="4:6" s="56" customFormat="1" ht="33.75" customHeight="1">
      <c r="D30" s="60" t="s">
        <v>96</v>
      </c>
      <c r="F30" s="61">
        <v>1</v>
      </c>
    </row>
    <row r="31" spans="3:13" s="56" customFormat="1" ht="33.75" customHeight="1">
      <c r="C31" s="65" t="s">
        <v>39</v>
      </c>
      <c r="D31" s="130" t="s">
        <v>101</v>
      </c>
      <c r="E31" s="130"/>
      <c r="F31" s="130"/>
      <c r="G31" s="130"/>
      <c r="H31" s="130"/>
      <c r="I31" s="130"/>
      <c r="J31" s="130"/>
      <c r="K31" s="130"/>
      <c r="L31" s="130"/>
      <c r="M31" s="130"/>
    </row>
    <row r="32" spans="1:43" s="56" customFormat="1" ht="33.75" customHeight="1">
      <c r="A32" s="53" t="s">
        <v>14</v>
      </c>
      <c r="B32" s="53"/>
      <c r="C32" s="53" t="s">
        <v>51</v>
      </c>
      <c r="D32" s="53" t="s">
        <v>102</v>
      </c>
      <c r="E32" s="53" t="s">
        <v>162</v>
      </c>
      <c r="F32" s="54">
        <v>1</v>
      </c>
      <c r="G32" s="54">
        <v>0</v>
      </c>
      <c r="H32" s="54">
        <f>ROUND(F32*AE32,2)</f>
        <v>0</v>
      </c>
      <c r="I32" s="54">
        <f>J32-H32</f>
        <v>0</v>
      </c>
      <c r="J32" s="54">
        <f>ROUND(F32*G32,2)</f>
        <v>0</v>
      </c>
      <c r="K32" s="54">
        <v>0.0952</v>
      </c>
      <c r="L32" s="54">
        <f>F32*K32</f>
        <v>0.0952</v>
      </c>
      <c r="M32" s="55" t="s">
        <v>185</v>
      </c>
      <c r="N32" s="55" t="s">
        <v>7</v>
      </c>
      <c r="O32" s="54">
        <f>IF(N32="5",I32,0)</f>
        <v>0</v>
      </c>
      <c r="Z32" s="54">
        <f>IF(AD32=0,J32,0)</f>
        <v>0</v>
      </c>
      <c r="AA32" s="54">
        <f>IF(AD32=15,J32,0)</f>
        <v>0</v>
      </c>
      <c r="AB32" s="54">
        <f>IF(AD32=21,J32,0)</f>
        <v>0</v>
      </c>
      <c r="AD32" s="57">
        <v>21</v>
      </c>
      <c r="AE32" s="57">
        <f>G32*0.321305031446541</f>
        <v>0</v>
      </c>
      <c r="AF32" s="57">
        <f>G32*(1-0.321305031446541)</f>
        <v>0</v>
      </c>
      <c r="AM32" s="57">
        <f>F32*AE32</f>
        <v>0</v>
      </c>
      <c r="AN32" s="57">
        <f>F32*AF32</f>
        <v>0</v>
      </c>
      <c r="AO32" s="58" t="s">
        <v>201</v>
      </c>
      <c r="AP32" s="58" t="s">
        <v>208</v>
      </c>
      <c r="AQ32" s="59" t="s">
        <v>211</v>
      </c>
    </row>
    <row r="33" spans="4:6" s="56" customFormat="1" ht="33.75" customHeight="1">
      <c r="D33" s="60" t="s">
        <v>96</v>
      </c>
      <c r="F33" s="61">
        <v>1</v>
      </c>
    </row>
    <row r="34" spans="1:43" s="56" customFormat="1" ht="33.75" customHeight="1">
      <c r="A34" s="66" t="s">
        <v>15</v>
      </c>
      <c r="B34" s="66"/>
      <c r="C34" s="66" t="s">
        <v>52</v>
      </c>
      <c r="D34" s="66" t="s">
        <v>103</v>
      </c>
      <c r="E34" s="66" t="s">
        <v>163</v>
      </c>
      <c r="F34" s="67">
        <v>1</v>
      </c>
      <c r="G34" s="67">
        <v>0</v>
      </c>
      <c r="H34" s="67">
        <f>ROUND(F34*AE34,2)</f>
        <v>0</v>
      </c>
      <c r="I34" s="67">
        <f>J34-H34</f>
        <v>0</v>
      </c>
      <c r="J34" s="67">
        <f>ROUND(F34*G34,2)</f>
        <v>0</v>
      </c>
      <c r="K34" s="67">
        <v>0.2375</v>
      </c>
      <c r="L34" s="67">
        <f>F34*K34</f>
        <v>0.2375</v>
      </c>
      <c r="M34" s="68" t="s">
        <v>185</v>
      </c>
      <c r="N34" s="68" t="s">
        <v>187</v>
      </c>
      <c r="O34" s="67">
        <f>IF(N34="5",I34,0)</f>
        <v>0</v>
      </c>
      <c r="Z34" s="67">
        <f>IF(AD34=0,J34,0)</f>
        <v>0</v>
      </c>
      <c r="AA34" s="67">
        <f>IF(AD34=15,J34,0)</f>
        <v>0</v>
      </c>
      <c r="AB34" s="67">
        <f>IF(AD34=21,J34,0)</f>
        <v>0</v>
      </c>
      <c r="AD34" s="57">
        <v>21</v>
      </c>
      <c r="AE34" s="57">
        <f>G34*1</f>
        <v>0</v>
      </c>
      <c r="AF34" s="57">
        <f>G34*(1-1)</f>
        <v>0</v>
      </c>
      <c r="AM34" s="57">
        <f>F34*AE34</f>
        <v>0</v>
      </c>
      <c r="AN34" s="57">
        <f>F34*AF34</f>
        <v>0</v>
      </c>
      <c r="AO34" s="58" t="s">
        <v>201</v>
      </c>
      <c r="AP34" s="58" t="s">
        <v>208</v>
      </c>
      <c r="AQ34" s="59" t="s">
        <v>211</v>
      </c>
    </row>
    <row r="35" spans="4:6" s="56" customFormat="1" ht="33.75" customHeight="1">
      <c r="D35" s="60" t="s">
        <v>96</v>
      </c>
      <c r="F35" s="61">
        <v>1</v>
      </c>
    </row>
    <row r="36" spans="3:13" s="56" customFormat="1" ht="33.75" customHeight="1">
      <c r="C36" s="65" t="s">
        <v>39</v>
      </c>
      <c r="D36" s="130" t="s">
        <v>104</v>
      </c>
      <c r="E36" s="130"/>
      <c r="F36" s="130"/>
      <c r="G36" s="130"/>
      <c r="H36" s="130"/>
      <c r="I36" s="130"/>
      <c r="J36" s="130"/>
      <c r="K36" s="130"/>
      <c r="L36" s="130"/>
      <c r="M36" s="130"/>
    </row>
    <row r="37" spans="1:43" s="56" customFormat="1" ht="33.75" customHeight="1">
      <c r="A37" s="53" t="s">
        <v>16</v>
      </c>
      <c r="B37" s="53"/>
      <c r="C37" s="53" t="s">
        <v>53</v>
      </c>
      <c r="D37" s="53" t="s">
        <v>105</v>
      </c>
      <c r="E37" s="53" t="s">
        <v>164</v>
      </c>
      <c r="F37" s="54">
        <v>6.4</v>
      </c>
      <c r="G37" s="54">
        <v>0</v>
      </c>
      <c r="H37" s="54">
        <f>ROUND(F37*AE37,2)</f>
        <v>0</v>
      </c>
      <c r="I37" s="54">
        <f>J37-H37</f>
        <v>0</v>
      </c>
      <c r="J37" s="54">
        <f>ROUND(F37*G37,2)</f>
        <v>0</v>
      </c>
      <c r="K37" s="54">
        <v>0.00222</v>
      </c>
      <c r="L37" s="54">
        <f>F37*K37</f>
        <v>0.014208000000000002</v>
      </c>
      <c r="M37" s="55" t="s">
        <v>185</v>
      </c>
      <c r="N37" s="55" t="s">
        <v>7</v>
      </c>
      <c r="O37" s="54">
        <f>IF(N37="5",I37,0)</f>
        <v>0</v>
      </c>
      <c r="Z37" s="54">
        <f>IF(AD37=0,J37,0)</f>
        <v>0</v>
      </c>
      <c r="AA37" s="54">
        <f>IF(AD37=15,J37,0)</f>
        <v>0</v>
      </c>
      <c r="AB37" s="54">
        <f>IF(AD37=21,J37,0)</f>
        <v>0</v>
      </c>
      <c r="AD37" s="57">
        <v>21</v>
      </c>
      <c r="AE37" s="57">
        <f>G37*0.0527636336801712</f>
        <v>0</v>
      </c>
      <c r="AF37" s="57">
        <f>G37*(1-0.0527636336801712)</f>
        <v>0</v>
      </c>
      <c r="AM37" s="57">
        <f>F37*AE37</f>
        <v>0</v>
      </c>
      <c r="AN37" s="57">
        <f>F37*AF37</f>
        <v>0</v>
      </c>
      <c r="AO37" s="58" t="s">
        <v>201</v>
      </c>
      <c r="AP37" s="58" t="s">
        <v>208</v>
      </c>
      <c r="AQ37" s="59" t="s">
        <v>211</v>
      </c>
    </row>
    <row r="38" spans="4:6" s="56" customFormat="1" ht="33.75" customHeight="1">
      <c r="D38" s="60" t="s">
        <v>106</v>
      </c>
      <c r="F38" s="61">
        <v>6.4</v>
      </c>
    </row>
    <row r="39" spans="1:43" s="56" customFormat="1" ht="33.75" customHeight="1">
      <c r="A39" s="66" t="s">
        <v>17</v>
      </c>
      <c r="B39" s="66"/>
      <c r="C39" s="66" t="s">
        <v>54</v>
      </c>
      <c r="D39" s="66" t="s">
        <v>107</v>
      </c>
      <c r="E39" s="66" t="s">
        <v>164</v>
      </c>
      <c r="F39" s="67">
        <v>6.4</v>
      </c>
      <c r="G39" s="67">
        <v>0</v>
      </c>
      <c r="H39" s="67">
        <f>ROUND(F39*AE39,2)</f>
        <v>0</v>
      </c>
      <c r="I39" s="67">
        <f>J39-H39</f>
        <v>0</v>
      </c>
      <c r="J39" s="67">
        <f>ROUND(F39*G39,2)</f>
        <v>0</v>
      </c>
      <c r="K39" s="67">
        <v>0.0039</v>
      </c>
      <c r="L39" s="67">
        <f>F39*K39</f>
        <v>0.02496</v>
      </c>
      <c r="M39" s="68" t="s">
        <v>185</v>
      </c>
      <c r="N39" s="68" t="s">
        <v>187</v>
      </c>
      <c r="O39" s="67">
        <f>IF(N39="5",I39,0)</f>
        <v>0</v>
      </c>
      <c r="Z39" s="67">
        <f>IF(AD39=0,J39,0)</f>
        <v>0</v>
      </c>
      <c r="AA39" s="67">
        <f>IF(AD39=15,J39,0)</f>
        <v>0</v>
      </c>
      <c r="AB39" s="67">
        <f>IF(AD39=21,J39,0)</f>
        <v>0</v>
      </c>
      <c r="AD39" s="57">
        <v>21</v>
      </c>
      <c r="AE39" s="57">
        <f>G39*1</f>
        <v>0</v>
      </c>
      <c r="AF39" s="57">
        <f>G39*(1-1)</f>
        <v>0</v>
      </c>
      <c r="AM39" s="57">
        <f>F39*AE39</f>
        <v>0</v>
      </c>
      <c r="AN39" s="57">
        <f>F39*AF39</f>
        <v>0</v>
      </c>
      <c r="AO39" s="58" t="s">
        <v>201</v>
      </c>
      <c r="AP39" s="58" t="s">
        <v>208</v>
      </c>
      <c r="AQ39" s="59" t="s">
        <v>211</v>
      </c>
    </row>
    <row r="40" spans="4:6" s="56" customFormat="1" ht="33.75" customHeight="1">
      <c r="D40" s="60" t="s">
        <v>108</v>
      </c>
      <c r="F40" s="61">
        <v>6.4</v>
      </c>
    </row>
    <row r="41" spans="1:37" s="56" customFormat="1" ht="33.75" customHeight="1">
      <c r="A41" s="62"/>
      <c r="B41" s="63"/>
      <c r="C41" s="63" t="s">
        <v>55</v>
      </c>
      <c r="D41" s="128" t="s">
        <v>109</v>
      </c>
      <c r="E41" s="129"/>
      <c r="F41" s="129"/>
      <c r="G41" s="129"/>
      <c r="H41" s="64">
        <f>SUM(H42:H45)</f>
        <v>0</v>
      </c>
      <c r="I41" s="64">
        <f>SUM(I42:I45)</f>
        <v>0</v>
      </c>
      <c r="J41" s="64">
        <f>H41+I41</f>
        <v>0</v>
      </c>
      <c r="K41" s="59"/>
      <c r="L41" s="64">
        <f>SUM(L42:L45)</f>
        <v>0.05575999999999999</v>
      </c>
      <c r="M41" s="59"/>
      <c r="P41" s="64">
        <f>IF(Q41="PR",J41,SUM(O42:O45))</f>
        <v>0</v>
      </c>
      <c r="Q41" s="59" t="s">
        <v>191</v>
      </c>
      <c r="R41" s="64">
        <f>IF(Q41="HS",H41,0)</f>
        <v>0</v>
      </c>
      <c r="S41" s="64">
        <f>IF(Q41="HS",I41-P41,0)</f>
        <v>0</v>
      </c>
      <c r="T41" s="64">
        <f>IF(Q41="PS",H41,0)</f>
        <v>0</v>
      </c>
      <c r="U41" s="64">
        <f>IF(Q41="PS",I41-P41,0)</f>
        <v>0</v>
      </c>
      <c r="V41" s="64">
        <f>IF(Q41="MP",H41,0)</f>
        <v>0</v>
      </c>
      <c r="W41" s="64">
        <f>IF(Q41="MP",I41-P41,0)</f>
        <v>0</v>
      </c>
      <c r="X41" s="64">
        <f>IF(Q41="OM",H41,0)</f>
        <v>0</v>
      </c>
      <c r="Y41" s="59"/>
      <c r="AI41" s="64">
        <f>SUM(Z42:Z45)</f>
        <v>0</v>
      </c>
      <c r="AJ41" s="64">
        <f>SUM(AA42:AA45)</f>
        <v>0</v>
      </c>
      <c r="AK41" s="64">
        <f>SUM(AB42:AB45)</f>
        <v>0</v>
      </c>
    </row>
    <row r="42" spans="1:43" s="56" customFormat="1" ht="33.75" customHeight="1">
      <c r="A42" s="53" t="s">
        <v>18</v>
      </c>
      <c r="B42" s="53"/>
      <c r="C42" s="53" t="s">
        <v>56</v>
      </c>
      <c r="D42" s="53" t="s">
        <v>110</v>
      </c>
      <c r="E42" s="53" t="s">
        <v>164</v>
      </c>
      <c r="F42" s="54">
        <v>16.4</v>
      </c>
      <c r="G42" s="54">
        <v>0</v>
      </c>
      <c r="H42" s="54">
        <f>ROUND(F42*AE42,2)</f>
        <v>0</v>
      </c>
      <c r="I42" s="54">
        <f>J42-H42</f>
        <v>0</v>
      </c>
      <c r="J42" s="54">
        <f>ROUND(F42*G42,2)</f>
        <v>0</v>
      </c>
      <c r="K42" s="54">
        <v>0.0034</v>
      </c>
      <c r="L42" s="54">
        <f>F42*K42</f>
        <v>0.05575999999999999</v>
      </c>
      <c r="M42" s="55" t="s">
        <v>185</v>
      </c>
      <c r="N42" s="55" t="s">
        <v>7</v>
      </c>
      <c r="O42" s="54">
        <f>IF(N42="5",I42,0)</f>
        <v>0</v>
      </c>
      <c r="Z42" s="54">
        <f>IF(AD42=0,J42,0)</f>
        <v>0</v>
      </c>
      <c r="AA42" s="54">
        <f>IF(AD42=15,J42,0)</f>
        <v>0</v>
      </c>
      <c r="AB42" s="54">
        <f>IF(AD42=21,J42,0)</f>
        <v>0</v>
      </c>
      <c r="AD42" s="57">
        <v>21</v>
      </c>
      <c r="AE42" s="57">
        <f>G42*0.616878855492847</f>
        <v>0</v>
      </c>
      <c r="AF42" s="57">
        <f>G42*(1-0.616878855492847)</f>
        <v>0</v>
      </c>
      <c r="AM42" s="57">
        <f>F42*AE42</f>
        <v>0</v>
      </c>
      <c r="AN42" s="57">
        <f>F42*AF42</f>
        <v>0</v>
      </c>
      <c r="AO42" s="58" t="s">
        <v>202</v>
      </c>
      <c r="AP42" s="58" t="s">
        <v>209</v>
      </c>
      <c r="AQ42" s="59" t="s">
        <v>211</v>
      </c>
    </row>
    <row r="43" spans="4:6" s="56" customFormat="1" ht="33.75" customHeight="1">
      <c r="D43" s="60" t="s">
        <v>111</v>
      </c>
      <c r="F43" s="61">
        <v>6.4</v>
      </c>
    </row>
    <row r="44" spans="4:6" s="56" customFormat="1" ht="33.75" customHeight="1">
      <c r="D44" s="60" t="s">
        <v>112</v>
      </c>
      <c r="F44" s="61">
        <v>10</v>
      </c>
    </row>
    <row r="45" spans="1:43" s="56" customFormat="1" ht="33.75" customHeight="1">
      <c r="A45" s="53" t="s">
        <v>19</v>
      </c>
      <c r="B45" s="53"/>
      <c r="C45" s="53" t="s">
        <v>57</v>
      </c>
      <c r="D45" s="53" t="s">
        <v>113</v>
      </c>
      <c r="E45" s="53" t="s">
        <v>165</v>
      </c>
      <c r="F45" s="54">
        <v>0.06</v>
      </c>
      <c r="G45" s="54">
        <v>0</v>
      </c>
      <c r="H45" s="54">
        <f>ROUND(F45*AE45,2)</f>
        <v>0</v>
      </c>
      <c r="I45" s="54">
        <f>J45-H45</f>
        <v>0</v>
      </c>
      <c r="J45" s="54">
        <f>ROUND(F45*G45,2)</f>
        <v>0</v>
      </c>
      <c r="K45" s="54">
        <v>0</v>
      </c>
      <c r="L45" s="54">
        <f>F45*K45</f>
        <v>0</v>
      </c>
      <c r="M45" s="55" t="s">
        <v>185</v>
      </c>
      <c r="N45" s="55" t="s">
        <v>11</v>
      </c>
      <c r="O45" s="54">
        <f>IF(N45="5",I45,0)</f>
        <v>0</v>
      </c>
      <c r="Z45" s="54">
        <f>IF(AD45=0,J45,0)</f>
        <v>0</v>
      </c>
      <c r="AA45" s="54">
        <f>IF(AD45=15,J45,0)</f>
        <v>0</v>
      </c>
      <c r="AB45" s="54">
        <f>IF(AD45=21,J45,0)</f>
        <v>0</v>
      </c>
      <c r="AD45" s="57">
        <v>21</v>
      </c>
      <c r="AE45" s="57">
        <f>G45*0</f>
        <v>0</v>
      </c>
      <c r="AF45" s="57">
        <f>G45*(1-0)</f>
        <v>0</v>
      </c>
      <c r="AM45" s="57">
        <f>F45*AE45</f>
        <v>0</v>
      </c>
      <c r="AN45" s="57">
        <f>F45*AF45</f>
        <v>0</v>
      </c>
      <c r="AO45" s="58" t="s">
        <v>202</v>
      </c>
      <c r="AP45" s="58" t="s">
        <v>209</v>
      </c>
      <c r="AQ45" s="59" t="s">
        <v>211</v>
      </c>
    </row>
    <row r="46" spans="4:6" s="56" customFormat="1" ht="33.75" customHeight="1">
      <c r="D46" s="60" t="s">
        <v>114</v>
      </c>
      <c r="F46" s="61">
        <v>0.06</v>
      </c>
    </row>
    <row r="47" spans="1:37" s="56" customFormat="1" ht="33.75" customHeight="1">
      <c r="A47" s="62"/>
      <c r="B47" s="63"/>
      <c r="C47" s="63" t="s">
        <v>58</v>
      </c>
      <c r="D47" s="128" t="s">
        <v>115</v>
      </c>
      <c r="E47" s="129"/>
      <c r="F47" s="129"/>
      <c r="G47" s="129"/>
      <c r="H47" s="64">
        <f>SUM(H48:H48)</f>
        <v>0</v>
      </c>
      <c r="I47" s="64">
        <f>SUM(I48:I48)</f>
        <v>0</v>
      </c>
      <c r="J47" s="64">
        <f>H47+I47</f>
        <v>0</v>
      </c>
      <c r="K47" s="59"/>
      <c r="L47" s="64">
        <f>SUM(L48:L48)</f>
        <v>0.019843999999999997</v>
      </c>
      <c r="M47" s="59"/>
      <c r="P47" s="64">
        <f>IF(Q47="PR",J47,SUM(O48:O48))</f>
        <v>0</v>
      </c>
      <c r="Q47" s="59" t="s">
        <v>190</v>
      </c>
      <c r="R47" s="64">
        <f>IF(Q47="HS",H47,0)</f>
        <v>0</v>
      </c>
      <c r="S47" s="64">
        <f>IF(Q47="HS",I47-P47,0)</f>
        <v>0</v>
      </c>
      <c r="T47" s="64">
        <f>IF(Q47="PS",H47,0)</f>
        <v>0</v>
      </c>
      <c r="U47" s="64">
        <f>IF(Q47="PS",I47-P47,0)</f>
        <v>0</v>
      </c>
      <c r="V47" s="64">
        <f>IF(Q47="MP",H47,0)</f>
        <v>0</v>
      </c>
      <c r="W47" s="64">
        <f>IF(Q47="MP",I47-P47,0)</f>
        <v>0</v>
      </c>
      <c r="X47" s="64">
        <f>IF(Q47="OM",H47,0)</f>
        <v>0</v>
      </c>
      <c r="Y47" s="59"/>
      <c r="AI47" s="64">
        <f>SUM(Z48:Z48)</f>
        <v>0</v>
      </c>
      <c r="AJ47" s="64">
        <f>SUM(AA48:AA48)</f>
        <v>0</v>
      </c>
      <c r="AK47" s="64">
        <f>SUM(AB48:AB48)</f>
        <v>0</v>
      </c>
    </row>
    <row r="48" spans="1:43" s="56" customFormat="1" ht="33.75" customHeight="1">
      <c r="A48" s="53" t="s">
        <v>20</v>
      </c>
      <c r="B48" s="53"/>
      <c r="C48" s="53" t="s">
        <v>59</v>
      </c>
      <c r="D48" s="53" t="s">
        <v>116</v>
      </c>
      <c r="E48" s="53" t="s">
        <v>161</v>
      </c>
      <c r="F48" s="54">
        <v>16.4</v>
      </c>
      <c r="G48" s="54">
        <v>0</v>
      </c>
      <c r="H48" s="54">
        <f>ROUND(F48*AE48,2)</f>
        <v>0</v>
      </c>
      <c r="I48" s="54">
        <f>J48-H48</f>
        <v>0</v>
      </c>
      <c r="J48" s="54">
        <f>ROUND(F48*G48,2)</f>
        <v>0</v>
      </c>
      <c r="K48" s="54">
        <v>0.00121</v>
      </c>
      <c r="L48" s="54">
        <f>F48*K48</f>
        <v>0.019843999999999997</v>
      </c>
      <c r="M48" s="55" t="s">
        <v>185</v>
      </c>
      <c r="N48" s="55" t="s">
        <v>7</v>
      </c>
      <c r="O48" s="54">
        <f>IF(N48="5",I48,0)</f>
        <v>0</v>
      </c>
      <c r="Z48" s="54">
        <f>IF(AD48=0,J48,0)</f>
        <v>0</v>
      </c>
      <c r="AA48" s="54">
        <f>IF(AD48=15,J48,0)</f>
        <v>0</v>
      </c>
      <c r="AB48" s="54">
        <f>IF(AD48=21,J48,0)</f>
        <v>0</v>
      </c>
      <c r="AD48" s="57">
        <v>21</v>
      </c>
      <c r="AE48" s="57">
        <f>G48*0.459110629067245</f>
        <v>0</v>
      </c>
      <c r="AF48" s="57">
        <f>G48*(1-0.459110629067245)</f>
        <v>0</v>
      </c>
      <c r="AM48" s="57">
        <f>F48*AE48</f>
        <v>0</v>
      </c>
      <c r="AN48" s="57">
        <f>F48*AF48</f>
        <v>0</v>
      </c>
      <c r="AO48" s="58" t="s">
        <v>203</v>
      </c>
      <c r="AP48" s="58" t="s">
        <v>210</v>
      </c>
      <c r="AQ48" s="59" t="s">
        <v>211</v>
      </c>
    </row>
    <row r="49" spans="4:6" s="56" customFormat="1" ht="33.75" customHeight="1">
      <c r="D49" s="60" t="s">
        <v>117</v>
      </c>
      <c r="F49" s="61">
        <v>4.8</v>
      </c>
    </row>
    <row r="50" spans="4:6" s="56" customFormat="1" ht="33.75" customHeight="1">
      <c r="D50" s="60" t="s">
        <v>118</v>
      </c>
      <c r="F50" s="61">
        <v>2</v>
      </c>
    </row>
    <row r="51" spans="4:6" s="56" customFormat="1" ht="33.75" customHeight="1">
      <c r="D51" s="60" t="s">
        <v>119</v>
      </c>
      <c r="F51" s="61">
        <v>2</v>
      </c>
    </row>
    <row r="52" spans="4:6" s="56" customFormat="1" ht="33.75" customHeight="1">
      <c r="D52" s="60" t="s">
        <v>120</v>
      </c>
      <c r="F52" s="61">
        <v>7.6</v>
      </c>
    </row>
    <row r="53" spans="1:37" s="56" customFormat="1" ht="33.75" customHeight="1">
      <c r="A53" s="62"/>
      <c r="B53" s="63"/>
      <c r="C53" s="63" t="s">
        <v>60</v>
      </c>
      <c r="D53" s="128" t="s">
        <v>121</v>
      </c>
      <c r="E53" s="129"/>
      <c r="F53" s="129"/>
      <c r="G53" s="129"/>
      <c r="H53" s="64">
        <f>SUM(H54:H54)</f>
        <v>0</v>
      </c>
      <c r="I53" s="64">
        <f>SUM(I54:I54)</f>
        <v>0</v>
      </c>
      <c r="J53" s="64">
        <f>H53+I53</f>
        <v>0</v>
      </c>
      <c r="K53" s="59"/>
      <c r="L53" s="64">
        <f>SUM(L54:L54)</f>
        <v>0.002672</v>
      </c>
      <c r="M53" s="59"/>
      <c r="P53" s="64">
        <f>IF(Q53="PR",J53,SUM(O54:O54))</f>
        <v>0</v>
      </c>
      <c r="Q53" s="59" t="s">
        <v>190</v>
      </c>
      <c r="R53" s="64">
        <f>IF(Q53="HS",H53,0)</f>
        <v>0</v>
      </c>
      <c r="S53" s="64">
        <f>IF(Q53="HS",I53-P53,0)</f>
        <v>0</v>
      </c>
      <c r="T53" s="64">
        <f>IF(Q53="PS",H53,0)</f>
        <v>0</v>
      </c>
      <c r="U53" s="64">
        <f>IF(Q53="PS",I53-P53,0)</f>
        <v>0</v>
      </c>
      <c r="V53" s="64">
        <f>IF(Q53="MP",H53,0)</f>
        <v>0</v>
      </c>
      <c r="W53" s="64">
        <f>IF(Q53="MP",I53-P53,0)</f>
        <v>0</v>
      </c>
      <c r="X53" s="64">
        <f>IF(Q53="OM",H53,0)</f>
        <v>0</v>
      </c>
      <c r="Y53" s="59"/>
      <c r="AI53" s="64">
        <f>SUM(Z54:Z54)</f>
        <v>0</v>
      </c>
      <c r="AJ53" s="64">
        <f>SUM(AA54:AA54)</f>
        <v>0</v>
      </c>
      <c r="AK53" s="64">
        <f>SUM(AB54:AB54)</f>
        <v>0</v>
      </c>
    </row>
    <row r="54" spans="1:43" s="56" customFormat="1" ht="33.75" customHeight="1">
      <c r="A54" s="53" t="s">
        <v>21</v>
      </c>
      <c r="B54" s="53"/>
      <c r="C54" s="53" t="s">
        <v>61</v>
      </c>
      <c r="D54" s="53" t="s">
        <v>122</v>
      </c>
      <c r="E54" s="53" t="s">
        <v>161</v>
      </c>
      <c r="F54" s="54">
        <v>66.8</v>
      </c>
      <c r="G54" s="54">
        <v>0</v>
      </c>
      <c r="H54" s="54">
        <f>ROUND(F54*AE54,2)</f>
        <v>0</v>
      </c>
      <c r="I54" s="54">
        <f>J54-H54</f>
        <v>0</v>
      </c>
      <c r="J54" s="54">
        <f>ROUND(F54*G54,2)</f>
        <v>0</v>
      </c>
      <c r="K54" s="54">
        <v>4E-05</v>
      </c>
      <c r="L54" s="54">
        <f>F54*K54</f>
        <v>0.002672</v>
      </c>
      <c r="M54" s="55" t="s">
        <v>185</v>
      </c>
      <c r="N54" s="55" t="s">
        <v>7</v>
      </c>
      <c r="O54" s="54">
        <f>IF(N54="5",I54,0)</f>
        <v>0</v>
      </c>
      <c r="Z54" s="54">
        <f>IF(AD54=0,J54,0)</f>
        <v>0</v>
      </c>
      <c r="AA54" s="54">
        <f>IF(AD54=15,J54,0)</f>
        <v>0</v>
      </c>
      <c r="AB54" s="54">
        <f>IF(AD54=21,J54,0)</f>
        <v>0</v>
      </c>
      <c r="AD54" s="57">
        <v>21</v>
      </c>
      <c r="AE54" s="57">
        <f>G54*0.0450851900393185</f>
        <v>0</v>
      </c>
      <c r="AF54" s="57">
        <f>G54*(1-0.0450851900393185)</f>
        <v>0</v>
      </c>
      <c r="AM54" s="57">
        <f>F54*AE54</f>
        <v>0</v>
      </c>
      <c r="AN54" s="57">
        <f>F54*AF54</f>
        <v>0</v>
      </c>
      <c r="AO54" s="58" t="s">
        <v>204</v>
      </c>
      <c r="AP54" s="58" t="s">
        <v>210</v>
      </c>
      <c r="AQ54" s="59" t="s">
        <v>211</v>
      </c>
    </row>
    <row r="55" spans="4:6" s="56" customFormat="1" ht="33.75" customHeight="1">
      <c r="D55" s="60" t="s">
        <v>123</v>
      </c>
      <c r="F55" s="61">
        <v>66.8</v>
      </c>
    </row>
    <row r="56" spans="1:37" s="56" customFormat="1" ht="33.75" customHeight="1">
      <c r="A56" s="62"/>
      <c r="B56" s="63"/>
      <c r="C56" s="63" t="s">
        <v>62</v>
      </c>
      <c r="D56" s="128" t="s">
        <v>124</v>
      </c>
      <c r="E56" s="129"/>
      <c r="F56" s="129"/>
      <c r="G56" s="129"/>
      <c r="H56" s="64">
        <f>SUM(H57:H74)</f>
        <v>0</v>
      </c>
      <c r="I56" s="64">
        <f>SUM(I57:I74)</f>
        <v>0</v>
      </c>
      <c r="J56" s="64">
        <f>H56+I56</f>
        <v>0</v>
      </c>
      <c r="K56" s="59"/>
      <c r="L56" s="64">
        <f>SUM(L57:L74)</f>
        <v>1.5974825</v>
      </c>
      <c r="M56" s="59"/>
      <c r="P56" s="64">
        <f>IF(Q56="PR",J56,SUM(O57:O74))</f>
        <v>0</v>
      </c>
      <c r="Q56" s="59" t="s">
        <v>190</v>
      </c>
      <c r="R56" s="64">
        <f>IF(Q56="HS",H56,0)</f>
        <v>0</v>
      </c>
      <c r="S56" s="64">
        <f>IF(Q56="HS",I56-P56,0)</f>
        <v>0</v>
      </c>
      <c r="T56" s="64">
        <f>IF(Q56="PS",H56,0)</f>
        <v>0</v>
      </c>
      <c r="U56" s="64">
        <f>IF(Q56="PS",I56-P56,0)</f>
        <v>0</v>
      </c>
      <c r="V56" s="64">
        <f>IF(Q56="MP",H56,0)</f>
        <v>0</v>
      </c>
      <c r="W56" s="64">
        <f>IF(Q56="MP",I56-P56,0)</f>
        <v>0</v>
      </c>
      <c r="X56" s="64">
        <f>IF(Q56="OM",H56,0)</f>
        <v>0</v>
      </c>
      <c r="Y56" s="59"/>
      <c r="AI56" s="64">
        <f>SUM(Z57:Z74)</f>
        <v>0</v>
      </c>
      <c r="AJ56" s="64">
        <f>SUM(AA57:AA74)</f>
        <v>0</v>
      </c>
      <c r="AK56" s="64">
        <f>SUM(AB57:AB74)</f>
        <v>0</v>
      </c>
    </row>
    <row r="57" spans="1:43" s="56" customFormat="1" ht="33.75" customHeight="1">
      <c r="A57" s="53" t="s">
        <v>22</v>
      </c>
      <c r="B57" s="53"/>
      <c r="C57" s="53" t="s">
        <v>63</v>
      </c>
      <c r="D57" s="53" t="s">
        <v>125</v>
      </c>
      <c r="E57" s="53" t="s">
        <v>162</v>
      </c>
      <c r="F57" s="54">
        <v>12</v>
      </c>
      <c r="G57" s="54">
        <v>0</v>
      </c>
      <c r="H57" s="54">
        <f>ROUND(F57*AE57,2)</f>
        <v>0</v>
      </c>
      <c r="I57" s="54">
        <f>J57-H57</f>
        <v>0</v>
      </c>
      <c r="J57" s="54">
        <f>ROUND(F57*G57,2)</f>
        <v>0</v>
      </c>
      <c r="K57" s="54">
        <v>0</v>
      </c>
      <c r="L57" s="54">
        <f>F57*K57</f>
        <v>0</v>
      </c>
      <c r="M57" s="55" t="s">
        <v>185</v>
      </c>
      <c r="N57" s="55" t="s">
        <v>7</v>
      </c>
      <c r="O57" s="54">
        <f>IF(N57="5",I57,0)</f>
        <v>0</v>
      </c>
      <c r="Z57" s="54">
        <f>IF(AD57=0,J57,0)</f>
        <v>0</v>
      </c>
      <c r="AA57" s="54">
        <f>IF(AD57=15,J57,0)</f>
        <v>0</v>
      </c>
      <c r="AB57" s="54">
        <f>IF(AD57=21,J57,0)</f>
        <v>0</v>
      </c>
      <c r="AD57" s="57">
        <v>21</v>
      </c>
      <c r="AE57" s="57">
        <f>G57*0</f>
        <v>0</v>
      </c>
      <c r="AF57" s="57">
        <f>G57*(1-0)</f>
        <v>0</v>
      </c>
      <c r="AM57" s="57">
        <f>F57*AE57</f>
        <v>0</v>
      </c>
      <c r="AN57" s="57">
        <f>F57*AF57</f>
        <v>0</v>
      </c>
      <c r="AO57" s="58" t="s">
        <v>205</v>
      </c>
      <c r="AP57" s="58" t="s">
        <v>210</v>
      </c>
      <c r="AQ57" s="59" t="s">
        <v>211</v>
      </c>
    </row>
    <row r="58" spans="4:6" s="56" customFormat="1" ht="33.75" customHeight="1">
      <c r="D58" s="60" t="s">
        <v>126</v>
      </c>
      <c r="F58" s="61">
        <v>12</v>
      </c>
    </row>
    <row r="59" spans="1:43" s="56" customFormat="1" ht="33.75" customHeight="1">
      <c r="A59" s="53" t="s">
        <v>23</v>
      </c>
      <c r="B59" s="53"/>
      <c r="C59" s="53" t="s">
        <v>64</v>
      </c>
      <c r="D59" s="53" t="s">
        <v>127</v>
      </c>
      <c r="E59" s="53" t="s">
        <v>161</v>
      </c>
      <c r="F59" s="54">
        <v>12.8</v>
      </c>
      <c r="G59" s="54">
        <v>0</v>
      </c>
      <c r="H59" s="54">
        <f>ROUND(F59*AE59,2)</f>
        <v>0</v>
      </c>
      <c r="I59" s="54">
        <f>J59-H59</f>
        <v>0</v>
      </c>
      <c r="J59" s="54">
        <f>ROUND(F59*G59,2)</f>
        <v>0</v>
      </c>
      <c r="K59" s="54">
        <v>0.04782</v>
      </c>
      <c r="L59" s="54">
        <f>F59*K59</f>
        <v>0.6120960000000001</v>
      </c>
      <c r="M59" s="55" t="s">
        <v>185</v>
      </c>
      <c r="N59" s="55" t="s">
        <v>7</v>
      </c>
      <c r="O59" s="54">
        <f>IF(N59="5",I59,0)</f>
        <v>0</v>
      </c>
      <c r="Z59" s="54">
        <f>IF(AD59=0,J59,0)</f>
        <v>0</v>
      </c>
      <c r="AA59" s="54">
        <f>IF(AD59=15,J59,0)</f>
        <v>0</v>
      </c>
      <c r="AB59" s="54">
        <f>IF(AD59=21,J59,0)</f>
        <v>0</v>
      </c>
      <c r="AD59" s="57">
        <v>21</v>
      </c>
      <c r="AE59" s="57">
        <f>G59*0.150230414746544</f>
        <v>0</v>
      </c>
      <c r="AF59" s="57">
        <f>G59*(1-0.150230414746544)</f>
        <v>0</v>
      </c>
      <c r="AM59" s="57">
        <f>F59*AE59</f>
        <v>0</v>
      </c>
      <c r="AN59" s="57">
        <f>F59*AF59</f>
        <v>0</v>
      </c>
      <c r="AO59" s="58" t="s">
        <v>205</v>
      </c>
      <c r="AP59" s="58" t="s">
        <v>210</v>
      </c>
      <c r="AQ59" s="59" t="s">
        <v>211</v>
      </c>
    </row>
    <row r="60" spans="4:6" s="56" customFormat="1" ht="33.75" customHeight="1">
      <c r="D60" s="60" t="s">
        <v>128</v>
      </c>
      <c r="F60" s="61">
        <v>12.8</v>
      </c>
    </row>
    <row r="61" spans="1:43" s="56" customFormat="1" ht="33.75" customHeight="1">
      <c r="A61" s="53" t="s">
        <v>24</v>
      </c>
      <c r="B61" s="53"/>
      <c r="C61" s="53" t="s">
        <v>65</v>
      </c>
      <c r="D61" s="53" t="s">
        <v>129</v>
      </c>
      <c r="E61" s="53" t="s">
        <v>162</v>
      </c>
      <c r="F61" s="54">
        <v>6</v>
      </c>
      <c r="G61" s="54">
        <v>0</v>
      </c>
      <c r="H61" s="54">
        <f>ROUND(F61*AE61,2)</f>
        <v>0</v>
      </c>
      <c r="I61" s="54">
        <f>J61-H61</f>
        <v>0</v>
      </c>
      <c r="J61" s="54">
        <f>ROUND(F61*G61,2)</f>
        <v>0</v>
      </c>
      <c r="K61" s="54">
        <v>0</v>
      </c>
      <c r="L61" s="54">
        <f>F61*K61</f>
        <v>0</v>
      </c>
      <c r="M61" s="55" t="s">
        <v>185</v>
      </c>
      <c r="N61" s="55" t="s">
        <v>7</v>
      </c>
      <c r="O61" s="54">
        <f>IF(N61="5",I61,0)</f>
        <v>0</v>
      </c>
      <c r="Z61" s="54">
        <f>IF(AD61=0,J61,0)</f>
        <v>0</v>
      </c>
      <c r="AA61" s="54">
        <f>IF(AD61=15,J61,0)</f>
        <v>0</v>
      </c>
      <c r="AB61" s="54">
        <f>IF(AD61=21,J61,0)</f>
        <v>0</v>
      </c>
      <c r="AD61" s="57">
        <v>21</v>
      </c>
      <c r="AE61" s="57">
        <f>G61*0</f>
        <v>0</v>
      </c>
      <c r="AF61" s="57">
        <f>G61*(1-0)</f>
        <v>0</v>
      </c>
      <c r="AM61" s="57">
        <f>F61*AE61</f>
        <v>0</v>
      </c>
      <c r="AN61" s="57">
        <f>F61*AF61</f>
        <v>0</v>
      </c>
      <c r="AO61" s="58" t="s">
        <v>205</v>
      </c>
      <c r="AP61" s="58" t="s">
        <v>210</v>
      </c>
      <c r="AQ61" s="59" t="s">
        <v>211</v>
      </c>
    </row>
    <row r="62" spans="4:6" s="56" customFormat="1" ht="33.75" customHeight="1">
      <c r="D62" s="60" t="s">
        <v>130</v>
      </c>
      <c r="F62" s="61">
        <v>2</v>
      </c>
    </row>
    <row r="63" spans="4:6" s="56" customFormat="1" ht="33.75" customHeight="1">
      <c r="D63" s="60" t="s">
        <v>131</v>
      </c>
      <c r="F63" s="61">
        <v>4</v>
      </c>
    </row>
    <row r="64" spans="1:43" s="56" customFormat="1" ht="33.75" customHeight="1">
      <c r="A64" s="53" t="s">
        <v>25</v>
      </c>
      <c r="B64" s="53"/>
      <c r="C64" s="53" t="s">
        <v>66</v>
      </c>
      <c r="D64" s="53" t="s">
        <v>132</v>
      </c>
      <c r="E64" s="53" t="s">
        <v>161</v>
      </c>
      <c r="F64" s="54">
        <v>3.57</v>
      </c>
      <c r="G64" s="54">
        <v>0</v>
      </c>
      <c r="H64" s="54">
        <f>ROUND(F64*AE64,2)</f>
        <v>0</v>
      </c>
      <c r="I64" s="54">
        <f>J64-H64</f>
        <v>0</v>
      </c>
      <c r="J64" s="54">
        <f>ROUND(F64*G64,2)</f>
        <v>0</v>
      </c>
      <c r="K64" s="54">
        <v>0.068</v>
      </c>
      <c r="L64" s="54">
        <f>F64*K64</f>
        <v>0.24276</v>
      </c>
      <c r="M64" s="55" t="s">
        <v>185</v>
      </c>
      <c r="N64" s="55" t="s">
        <v>7</v>
      </c>
      <c r="O64" s="54">
        <f>IF(N64="5",I64,0)</f>
        <v>0</v>
      </c>
      <c r="Z64" s="54">
        <f>IF(AD64=0,J64,0)</f>
        <v>0</v>
      </c>
      <c r="AA64" s="54">
        <f>IF(AD64=15,J64,0)</f>
        <v>0</v>
      </c>
      <c r="AB64" s="54">
        <f>IF(AD64=21,J64,0)</f>
        <v>0</v>
      </c>
      <c r="AD64" s="57">
        <v>21</v>
      </c>
      <c r="AE64" s="57">
        <f>G64*0.137550548815713</f>
        <v>0</v>
      </c>
      <c r="AF64" s="57">
        <f>G64*(1-0.137550548815713)</f>
        <v>0</v>
      </c>
      <c r="AM64" s="57">
        <f>F64*AE64</f>
        <v>0</v>
      </c>
      <c r="AN64" s="57">
        <f>F64*AF64</f>
        <v>0</v>
      </c>
      <c r="AO64" s="58" t="s">
        <v>205</v>
      </c>
      <c r="AP64" s="58" t="s">
        <v>210</v>
      </c>
      <c r="AQ64" s="59" t="s">
        <v>211</v>
      </c>
    </row>
    <row r="65" spans="4:6" s="56" customFormat="1" ht="33.75" customHeight="1">
      <c r="D65" s="60" t="s">
        <v>133</v>
      </c>
      <c r="F65" s="61">
        <v>3.57</v>
      </c>
    </row>
    <row r="66" spans="1:43" s="56" customFormat="1" ht="33.75" customHeight="1">
      <c r="A66" s="53" t="s">
        <v>26</v>
      </c>
      <c r="B66" s="53"/>
      <c r="C66" s="53" t="s">
        <v>67</v>
      </c>
      <c r="D66" s="53" t="s">
        <v>134</v>
      </c>
      <c r="E66" s="53" t="s">
        <v>161</v>
      </c>
      <c r="F66" s="54">
        <v>1.63</v>
      </c>
      <c r="G66" s="54">
        <v>0</v>
      </c>
      <c r="H66" s="54">
        <f>ROUND(F66*AE66,2)</f>
        <v>0</v>
      </c>
      <c r="I66" s="54">
        <f>J66-H66</f>
        <v>0</v>
      </c>
      <c r="J66" s="54">
        <f>ROUND(F66*G66,2)</f>
        <v>0</v>
      </c>
      <c r="K66" s="54">
        <v>0.02456</v>
      </c>
      <c r="L66" s="54">
        <f>F66*K66</f>
        <v>0.04003279999999999</v>
      </c>
      <c r="M66" s="55" t="s">
        <v>185</v>
      </c>
      <c r="N66" s="55" t="s">
        <v>7</v>
      </c>
      <c r="O66" s="54">
        <f>IF(N66="5",I66,0)</f>
        <v>0</v>
      </c>
      <c r="Z66" s="54">
        <f>IF(AD66=0,J66,0)</f>
        <v>0</v>
      </c>
      <c r="AA66" s="54">
        <f>IF(AD66=15,J66,0)</f>
        <v>0</v>
      </c>
      <c r="AB66" s="54">
        <f>IF(AD66=21,J66,0)</f>
        <v>0</v>
      </c>
      <c r="AD66" s="57">
        <v>21</v>
      </c>
      <c r="AE66" s="57">
        <f>G66*0.165504358655044</f>
        <v>0</v>
      </c>
      <c r="AF66" s="57">
        <f>G66*(1-0.165504358655044)</f>
        <v>0</v>
      </c>
      <c r="AM66" s="57">
        <f>F66*AE66</f>
        <v>0</v>
      </c>
      <c r="AN66" s="57">
        <f>F66*AF66</f>
        <v>0</v>
      </c>
      <c r="AO66" s="58" t="s">
        <v>205</v>
      </c>
      <c r="AP66" s="58" t="s">
        <v>210</v>
      </c>
      <c r="AQ66" s="59" t="s">
        <v>211</v>
      </c>
    </row>
    <row r="67" spans="4:6" s="56" customFormat="1" ht="33.75" customHeight="1">
      <c r="D67" s="60" t="s">
        <v>135</v>
      </c>
      <c r="F67" s="61">
        <v>1.63</v>
      </c>
    </row>
    <row r="68" spans="1:43" s="56" customFormat="1" ht="33.75" customHeight="1">
      <c r="A68" s="53" t="s">
        <v>27</v>
      </c>
      <c r="B68" s="53"/>
      <c r="C68" s="53" t="s">
        <v>68</v>
      </c>
      <c r="D68" s="53" t="s">
        <v>136</v>
      </c>
      <c r="E68" s="53" t="s">
        <v>161</v>
      </c>
      <c r="F68" s="54">
        <v>9.33</v>
      </c>
      <c r="G68" s="54">
        <v>0</v>
      </c>
      <c r="H68" s="54">
        <f>ROUND(F68*AE68,2)</f>
        <v>0</v>
      </c>
      <c r="I68" s="54">
        <f>J68-H68</f>
        <v>0</v>
      </c>
      <c r="J68" s="54">
        <f>ROUND(F68*G68,2)</f>
        <v>0</v>
      </c>
      <c r="K68" s="54">
        <v>0.01549</v>
      </c>
      <c r="L68" s="54">
        <f>F68*K68</f>
        <v>0.1445217</v>
      </c>
      <c r="M68" s="55" t="s">
        <v>185</v>
      </c>
      <c r="N68" s="55" t="s">
        <v>7</v>
      </c>
      <c r="O68" s="54">
        <f>IF(N68="5",I68,0)</f>
        <v>0</v>
      </c>
      <c r="Z68" s="54">
        <f>IF(AD68=0,J68,0)</f>
        <v>0</v>
      </c>
      <c r="AA68" s="54">
        <f>IF(AD68=15,J68,0)</f>
        <v>0</v>
      </c>
      <c r="AB68" s="54">
        <f>IF(AD68=21,J68,0)</f>
        <v>0</v>
      </c>
      <c r="AD68" s="57">
        <v>21</v>
      </c>
      <c r="AE68" s="57">
        <f>G68*0.189935064935065</f>
        <v>0</v>
      </c>
      <c r="AF68" s="57">
        <f>G68*(1-0.189935064935065)</f>
        <v>0</v>
      </c>
      <c r="AM68" s="57">
        <f>F68*AE68</f>
        <v>0</v>
      </c>
      <c r="AN68" s="57">
        <f>F68*AF68</f>
        <v>0</v>
      </c>
      <c r="AO68" s="58" t="s">
        <v>205</v>
      </c>
      <c r="AP68" s="58" t="s">
        <v>210</v>
      </c>
      <c r="AQ68" s="59" t="s">
        <v>211</v>
      </c>
    </row>
    <row r="69" spans="4:6" s="56" customFormat="1" ht="33.75" customHeight="1">
      <c r="D69" s="60" t="s">
        <v>137</v>
      </c>
      <c r="F69" s="61">
        <v>9.33</v>
      </c>
    </row>
    <row r="70" spans="1:43" s="56" customFormat="1" ht="33.75" customHeight="1">
      <c r="A70" s="53" t="s">
        <v>28</v>
      </c>
      <c r="B70" s="53"/>
      <c r="C70" s="53" t="s">
        <v>68</v>
      </c>
      <c r="D70" s="53" t="s">
        <v>138</v>
      </c>
      <c r="E70" s="53" t="s">
        <v>161</v>
      </c>
      <c r="F70" s="54">
        <v>30</v>
      </c>
      <c r="G70" s="54">
        <v>0</v>
      </c>
      <c r="H70" s="54">
        <f>ROUND(F70*AE70,2)</f>
        <v>0</v>
      </c>
      <c r="I70" s="54">
        <f>J70-H70</f>
        <v>0</v>
      </c>
      <c r="J70" s="54">
        <f>ROUND(F70*G70,2)</f>
        <v>0</v>
      </c>
      <c r="K70" s="54">
        <v>0.01549</v>
      </c>
      <c r="L70" s="54">
        <f>F70*K70</f>
        <v>0.4647</v>
      </c>
      <c r="M70" s="55" t="s">
        <v>185</v>
      </c>
      <c r="N70" s="55" t="s">
        <v>7</v>
      </c>
      <c r="O70" s="54">
        <f>IF(N70="5",I70,0)</f>
        <v>0</v>
      </c>
      <c r="Z70" s="54">
        <f>IF(AD70=0,J70,0)</f>
        <v>0</v>
      </c>
      <c r="AA70" s="54">
        <f>IF(AD70=15,J70,0)</f>
        <v>0</v>
      </c>
      <c r="AB70" s="54">
        <f>IF(AD70=21,J70,0)</f>
        <v>0</v>
      </c>
      <c r="AD70" s="57">
        <v>21</v>
      </c>
      <c r="AE70" s="57">
        <f>G70*0.189935064935065</f>
        <v>0</v>
      </c>
      <c r="AF70" s="57">
        <f>G70*(1-0.189935064935065)</f>
        <v>0</v>
      </c>
      <c r="AM70" s="57">
        <f>F70*AE70</f>
        <v>0</v>
      </c>
      <c r="AN70" s="57">
        <f>F70*AF70</f>
        <v>0</v>
      </c>
      <c r="AO70" s="58" t="s">
        <v>205</v>
      </c>
      <c r="AP70" s="58" t="s">
        <v>210</v>
      </c>
      <c r="AQ70" s="59" t="s">
        <v>211</v>
      </c>
    </row>
    <row r="71" spans="4:6" s="56" customFormat="1" ht="33.75" customHeight="1">
      <c r="D71" s="60" t="s">
        <v>139</v>
      </c>
      <c r="F71" s="61">
        <v>30</v>
      </c>
    </row>
    <row r="72" spans="1:43" s="56" customFormat="1" ht="33.75" customHeight="1">
      <c r="A72" s="53" t="s">
        <v>29</v>
      </c>
      <c r="B72" s="53"/>
      <c r="C72" s="53" t="s">
        <v>69</v>
      </c>
      <c r="D72" s="53" t="s">
        <v>140</v>
      </c>
      <c r="E72" s="53" t="s">
        <v>164</v>
      </c>
      <c r="F72" s="54">
        <v>6.4</v>
      </c>
      <c r="G72" s="54">
        <v>0</v>
      </c>
      <c r="H72" s="54">
        <f>ROUND(F72*AE72,2)</f>
        <v>0</v>
      </c>
      <c r="I72" s="54">
        <f>J72-H72</f>
        <v>0</v>
      </c>
      <c r="J72" s="54">
        <f>ROUND(F72*G72,2)</f>
        <v>0</v>
      </c>
      <c r="K72" s="54">
        <v>0.01113</v>
      </c>
      <c r="L72" s="54">
        <f>F72*K72</f>
        <v>0.071232</v>
      </c>
      <c r="M72" s="55" t="s">
        <v>185</v>
      </c>
      <c r="N72" s="55" t="s">
        <v>7</v>
      </c>
      <c r="O72" s="54">
        <f>IF(N72="5",I72,0)</f>
        <v>0</v>
      </c>
      <c r="Z72" s="54">
        <f>IF(AD72=0,J72,0)</f>
        <v>0</v>
      </c>
      <c r="AA72" s="54">
        <f>IF(AD72=15,J72,0)</f>
        <v>0</v>
      </c>
      <c r="AB72" s="54">
        <f>IF(AD72=21,J72,0)</f>
        <v>0</v>
      </c>
      <c r="AD72" s="57">
        <v>21</v>
      </c>
      <c r="AE72" s="57">
        <f>G72*0</f>
        <v>0</v>
      </c>
      <c r="AF72" s="57">
        <f>G72*(1-0)</f>
        <v>0</v>
      </c>
      <c r="AM72" s="57">
        <f>F72*AE72</f>
        <v>0</v>
      </c>
      <c r="AN72" s="57">
        <f>F72*AF72</f>
        <v>0</v>
      </c>
      <c r="AO72" s="58" t="s">
        <v>205</v>
      </c>
      <c r="AP72" s="58" t="s">
        <v>210</v>
      </c>
      <c r="AQ72" s="59" t="s">
        <v>211</v>
      </c>
    </row>
    <row r="73" spans="4:6" s="56" customFormat="1" ht="33.75" customHeight="1">
      <c r="D73" s="60" t="s">
        <v>106</v>
      </c>
      <c r="F73" s="61">
        <v>6.4</v>
      </c>
    </row>
    <row r="74" spans="1:43" s="56" customFormat="1" ht="33.75" customHeight="1">
      <c r="A74" s="53" t="s">
        <v>30</v>
      </c>
      <c r="B74" s="53"/>
      <c r="C74" s="53" t="s">
        <v>70</v>
      </c>
      <c r="D74" s="53" t="s">
        <v>141</v>
      </c>
      <c r="E74" s="53" t="s">
        <v>164</v>
      </c>
      <c r="F74" s="54">
        <v>16.4</v>
      </c>
      <c r="G74" s="54">
        <v>0</v>
      </c>
      <c r="H74" s="54">
        <f>ROUND(F74*AE74,2)</f>
        <v>0</v>
      </c>
      <c r="I74" s="54">
        <f>J74-H74</f>
        <v>0</v>
      </c>
      <c r="J74" s="54">
        <f>ROUND(F74*G74,2)</f>
        <v>0</v>
      </c>
      <c r="K74" s="54">
        <v>0.00135</v>
      </c>
      <c r="L74" s="54">
        <f>F74*K74</f>
        <v>0.02214</v>
      </c>
      <c r="M74" s="55" t="s">
        <v>185</v>
      </c>
      <c r="N74" s="55" t="s">
        <v>7</v>
      </c>
      <c r="O74" s="54">
        <f>IF(N74="5",I74,0)</f>
        <v>0</v>
      </c>
      <c r="Z74" s="54">
        <f>IF(AD74=0,J74,0)</f>
        <v>0</v>
      </c>
      <c r="AA74" s="54">
        <f>IF(AD74=15,J74,0)</f>
        <v>0</v>
      </c>
      <c r="AB74" s="54">
        <f>IF(AD74=21,J74,0)</f>
        <v>0</v>
      </c>
      <c r="AD74" s="57">
        <v>21</v>
      </c>
      <c r="AE74" s="57">
        <f>G74*0</f>
        <v>0</v>
      </c>
      <c r="AF74" s="57">
        <f>G74*(1-0)</f>
        <v>0</v>
      </c>
      <c r="AM74" s="57">
        <f>F74*AE74</f>
        <v>0</v>
      </c>
      <c r="AN74" s="57">
        <f>F74*AF74</f>
        <v>0</v>
      </c>
      <c r="AO74" s="58" t="s">
        <v>205</v>
      </c>
      <c r="AP74" s="58" t="s">
        <v>210</v>
      </c>
      <c r="AQ74" s="59" t="s">
        <v>211</v>
      </c>
    </row>
    <row r="75" spans="4:6" s="56" customFormat="1" ht="33.75" customHeight="1">
      <c r="D75" s="60" t="s">
        <v>142</v>
      </c>
      <c r="F75" s="61">
        <v>16.4</v>
      </c>
    </row>
    <row r="76" spans="1:37" s="56" customFormat="1" ht="33.75" customHeight="1">
      <c r="A76" s="62"/>
      <c r="B76" s="63"/>
      <c r="C76" s="63" t="s">
        <v>71</v>
      </c>
      <c r="D76" s="128" t="s">
        <v>143</v>
      </c>
      <c r="E76" s="129"/>
      <c r="F76" s="129"/>
      <c r="G76" s="129"/>
      <c r="H76" s="64">
        <f>SUM(H77:H77)</f>
        <v>0</v>
      </c>
      <c r="I76" s="64">
        <f>SUM(I77:I77)</f>
        <v>0</v>
      </c>
      <c r="J76" s="64">
        <f>H76+I76</f>
        <v>0</v>
      </c>
      <c r="K76" s="59"/>
      <c r="L76" s="64">
        <f>SUM(L77:L77)</f>
        <v>0</v>
      </c>
      <c r="M76" s="59"/>
      <c r="P76" s="64">
        <f>IF(Q76="PR",J76,SUM(O77:O77))</f>
        <v>0</v>
      </c>
      <c r="Q76" s="59" t="s">
        <v>192</v>
      </c>
      <c r="R76" s="64">
        <f>IF(Q76="HS",H76,0)</f>
        <v>0</v>
      </c>
      <c r="S76" s="64">
        <f>IF(Q76="HS",I76-P76,0)</f>
        <v>0</v>
      </c>
      <c r="T76" s="64">
        <f>IF(Q76="PS",H76,0)</f>
        <v>0</v>
      </c>
      <c r="U76" s="64">
        <f>IF(Q76="PS",I76-P76,0)</f>
        <v>0</v>
      </c>
      <c r="V76" s="64">
        <f>IF(Q76="MP",H76,0)</f>
        <v>0</v>
      </c>
      <c r="W76" s="64">
        <f>IF(Q76="MP",I76-P76,0)</f>
        <v>0</v>
      </c>
      <c r="X76" s="64">
        <f>IF(Q76="OM",H76,0)</f>
        <v>0</v>
      </c>
      <c r="Y76" s="59"/>
      <c r="AI76" s="64">
        <f>SUM(Z77:Z77)</f>
        <v>0</v>
      </c>
      <c r="AJ76" s="64">
        <f>SUM(AA77:AA77)</f>
        <v>0</v>
      </c>
      <c r="AK76" s="64">
        <f>SUM(AB77:AB77)</f>
        <v>0</v>
      </c>
    </row>
    <row r="77" spans="1:43" s="56" customFormat="1" ht="33.75" customHeight="1">
      <c r="A77" s="53" t="s">
        <v>31</v>
      </c>
      <c r="B77" s="53"/>
      <c r="C77" s="53" t="s">
        <v>72</v>
      </c>
      <c r="D77" s="53" t="s">
        <v>144</v>
      </c>
      <c r="E77" s="53" t="s">
        <v>165</v>
      </c>
      <c r="F77" s="54">
        <v>2.8</v>
      </c>
      <c r="G77" s="54">
        <v>0</v>
      </c>
      <c r="H77" s="54">
        <f>ROUND(F77*AE77,2)</f>
        <v>0</v>
      </c>
      <c r="I77" s="54">
        <f>J77-H77</f>
        <v>0</v>
      </c>
      <c r="J77" s="54">
        <f>ROUND(F77*G77,2)</f>
        <v>0</v>
      </c>
      <c r="K77" s="54">
        <v>0</v>
      </c>
      <c r="L77" s="54">
        <f>F77*K77</f>
        <v>0</v>
      </c>
      <c r="M77" s="55" t="s">
        <v>185</v>
      </c>
      <c r="N77" s="55" t="s">
        <v>11</v>
      </c>
      <c r="O77" s="54">
        <f>IF(N77="5",I77,0)</f>
        <v>0</v>
      </c>
      <c r="Z77" s="54">
        <f>IF(AD77=0,J77,0)</f>
        <v>0</v>
      </c>
      <c r="AA77" s="54">
        <f>IF(AD77=15,J77,0)</f>
        <v>0</v>
      </c>
      <c r="AB77" s="54">
        <f>IF(AD77=21,J77,0)</f>
        <v>0</v>
      </c>
      <c r="AD77" s="57">
        <v>21</v>
      </c>
      <c r="AE77" s="57">
        <f>G77*0</f>
        <v>0</v>
      </c>
      <c r="AF77" s="57">
        <f>G77*(1-0)</f>
        <v>0</v>
      </c>
      <c r="AM77" s="57">
        <f>F77*AE77</f>
        <v>0</v>
      </c>
      <c r="AN77" s="57">
        <f>F77*AF77</f>
        <v>0</v>
      </c>
      <c r="AO77" s="58" t="s">
        <v>206</v>
      </c>
      <c r="AP77" s="58" t="s">
        <v>210</v>
      </c>
      <c r="AQ77" s="59" t="s">
        <v>211</v>
      </c>
    </row>
    <row r="78" spans="4:6" s="56" customFormat="1" ht="33.75" customHeight="1">
      <c r="D78" s="60" t="s">
        <v>145</v>
      </c>
      <c r="F78" s="61">
        <v>2.8</v>
      </c>
    </row>
    <row r="79" spans="1:37" s="56" customFormat="1" ht="33.75" customHeight="1">
      <c r="A79" s="62"/>
      <c r="B79" s="63"/>
      <c r="C79" s="63" t="s">
        <v>73</v>
      </c>
      <c r="D79" s="128" t="s">
        <v>146</v>
      </c>
      <c r="E79" s="129"/>
      <c r="F79" s="129"/>
      <c r="G79" s="129"/>
      <c r="H79" s="64">
        <f>SUM(H80:H92)</f>
        <v>0</v>
      </c>
      <c r="I79" s="64">
        <f>SUM(I80:I92)</f>
        <v>0</v>
      </c>
      <c r="J79" s="64">
        <f>H79+I79</f>
        <v>0</v>
      </c>
      <c r="K79" s="59"/>
      <c r="L79" s="64">
        <f>SUM(L80:L92)</f>
        <v>0</v>
      </c>
      <c r="M79" s="59"/>
      <c r="P79" s="64">
        <f>IF(Q79="PR",J79,SUM(O80:O92))</f>
        <v>0</v>
      </c>
      <c r="Q79" s="59" t="s">
        <v>192</v>
      </c>
      <c r="R79" s="64">
        <f>IF(Q79="HS",H79,0)</f>
        <v>0</v>
      </c>
      <c r="S79" s="64">
        <f>IF(Q79="HS",I79-P79,0)</f>
        <v>0</v>
      </c>
      <c r="T79" s="64">
        <f>IF(Q79="PS",H79,0)</f>
        <v>0</v>
      </c>
      <c r="U79" s="64">
        <f>IF(Q79="PS",I79-P79,0)</f>
        <v>0</v>
      </c>
      <c r="V79" s="64">
        <f>IF(Q79="MP",H79,0)</f>
        <v>0</v>
      </c>
      <c r="W79" s="64">
        <f>IF(Q79="MP",I79-P79,0)</f>
        <v>0</v>
      </c>
      <c r="X79" s="64">
        <f>IF(Q79="OM",H79,0)</f>
        <v>0</v>
      </c>
      <c r="Y79" s="59"/>
      <c r="AI79" s="64">
        <f>SUM(Z80:Z92)</f>
        <v>0</v>
      </c>
      <c r="AJ79" s="64">
        <f>SUM(AA80:AA92)</f>
        <v>0</v>
      </c>
      <c r="AK79" s="64">
        <f>SUM(AB80:AB92)</f>
        <v>0</v>
      </c>
    </row>
    <row r="80" spans="1:43" s="56" customFormat="1" ht="33.75" customHeight="1">
      <c r="A80" s="53" t="s">
        <v>32</v>
      </c>
      <c r="B80" s="53"/>
      <c r="C80" s="53" t="s">
        <v>74</v>
      </c>
      <c r="D80" s="53" t="s">
        <v>147</v>
      </c>
      <c r="E80" s="53" t="s">
        <v>165</v>
      </c>
      <c r="F80" s="54">
        <v>1.6</v>
      </c>
      <c r="G80" s="54">
        <v>0</v>
      </c>
      <c r="H80" s="54">
        <f>ROUND(F80*AE80,2)</f>
        <v>0</v>
      </c>
      <c r="I80" s="54">
        <f>J80-H80</f>
        <v>0</v>
      </c>
      <c r="J80" s="54">
        <f>ROUND(F80*G80,2)</f>
        <v>0</v>
      </c>
      <c r="K80" s="54">
        <v>0</v>
      </c>
      <c r="L80" s="54">
        <f>F80*K80</f>
        <v>0</v>
      </c>
      <c r="M80" s="55" t="s">
        <v>185</v>
      </c>
      <c r="N80" s="55" t="s">
        <v>11</v>
      </c>
      <c r="O80" s="54">
        <f>IF(N80="5",I80,0)</f>
        <v>0</v>
      </c>
      <c r="Z80" s="54">
        <f>IF(AD80=0,J80,0)</f>
        <v>0</v>
      </c>
      <c r="AA80" s="54">
        <f>IF(AD80=15,J80,0)</f>
        <v>0</v>
      </c>
      <c r="AB80" s="54">
        <f>IF(AD80=21,J80,0)</f>
        <v>0</v>
      </c>
      <c r="AD80" s="57">
        <v>21</v>
      </c>
      <c r="AE80" s="57">
        <f>G80*0</f>
        <v>0</v>
      </c>
      <c r="AF80" s="57">
        <f>G80*(1-0)</f>
        <v>0</v>
      </c>
      <c r="AM80" s="57">
        <f>F80*AE80</f>
        <v>0</v>
      </c>
      <c r="AN80" s="57">
        <f>F80*AF80</f>
        <v>0</v>
      </c>
      <c r="AO80" s="58" t="s">
        <v>207</v>
      </c>
      <c r="AP80" s="58" t="s">
        <v>210</v>
      </c>
      <c r="AQ80" s="59" t="s">
        <v>211</v>
      </c>
    </row>
    <row r="81" spans="4:6" s="56" customFormat="1" ht="33.75" customHeight="1">
      <c r="D81" s="60" t="s">
        <v>148</v>
      </c>
      <c r="F81" s="61">
        <v>1.6</v>
      </c>
    </row>
    <row r="82" spans="1:43" s="56" customFormat="1" ht="33.75" customHeight="1">
      <c r="A82" s="53" t="s">
        <v>33</v>
      </c>
      <c r="B82" s="53"/>
      <c r="C82" s="53" t="s">
        <v>75</v>
      </c>
      <c r="D82" s="53" t="s">
        <v>149</v>
      </c>
      <c r="E82" s="53" t="s">
        <v>165</v>
      </c>
      <c r="F82" s="54">
        <v>1.6</v>
      </c>
      <c r="G82" s="54">
        <v>0</v>
      </c>
      <c r="H82" s="54">
        <f>ROUND(F82*AE82,2)</f>
        <v>0</v>
      </c>
      <c r="I82" s="54">
        <f>J82-H82</f>
        <v>0</v>
      </c>
      <c r="J82" s="54">
        <f>ROUND(F82*G82,2)</f>
        <v>0</v>
      </c>
      <c r="K82" s="54">
        <v>0</v>
      </c>
      <c r="L82" s="54">
        <f>F82*K82</f>
        <v>0</v>
      </c>
      <c r="M82" s="55" t="s">
        <v>185</v>
      </c>
      <c r="N82" s="55" t="s">
        <v>11</v>
      </c>
      <c r="O82" s="54">
        <f>IF(N82="5",I82,0)</f>
        <v>0</v>
      </c>
      <c r="Z82" s="54">
        <f>IF(AD82=0,J82,0)</f>
        <v>0</v>
      </c>
      <c r="AA82" s="54">
        <f>IF(AD82=15,J82,0)</f>
        <v>0</v>
      </c>
      <c r="AB82" s="54">
        <f>IF(AD82=21,J82,0)</f>
        <v>0</v>
      </c>
      <c r="AD82" s="57">
        <v>21</v>
      </c>
      <c r="AE82" s="57">
        <f>G82*0</f>
        <v>0</v>
      </c>
      <c r="AF82" s="57">
        <f>G82*(1-0)</f>
        <v>0</v>
      </c>
      <c r="AM82" s="57">
        <f>F82*AE82</f>
        <v>0</v>
      </c>
      <c r="AN82" s="57">
        <f>F82*AF82</f>
        <v>0</v>
      </c>
      <c r="AO82" s="58" t="s">
        <v>207</v>
      </c>
      <c r="AP82" s="58" t="s">
        <v>210</v>
      </c>
      <c r="AQ82" s="59" t="s">
        <v>211</v>
      </c>
    </row>
    <row r="83" spans="4:6" s="56" customFormat="1" ht="33.75" customHeight="1">
      <c r="D83" s="60" t="s">
        <v>150</v>
      </c>
      <c r="F83" s="61">
        <v>1.6</v>
      </c>
    </row>
    <row r="84" spans="1:43" s="56" customFormat="1" ht="33.75" customHeight="1">
      <c r="A84" s="53" t="s">
        <v>34</v>
      </c>
      <c r="B84" s="53"/>
      <c r="C84" s="53" t="s">
        <v>76</v>
      </c>
      <c r="D84" s="53" t="s">
        <v>151</v>
      </c>
      <c r="E84" s="53" t="s">
        <v>165</v>
      </c>
      <c r="F84" s="54">
        <v>1.6</v>
      </c>
      <c r="G84" s="54">
        <v>0</v>
      </c>
      <c r="H84" s="54">
        <f>ROUND(F84*AE84,2)</f>
        <v>0</v>
      </c>
      <c r="I84" s="54">
        <f>J84-H84</f>
        <v>0</v>
      </c>
      <c r="J84" s="54">
        <f>ROUND(F84*G84,2)</f>
        <v>0</v>
      </c>
      <c r="K84" s="54">
        <v>0</v>
      </c>
      <c r="L84" s="54">
        <f>F84*K84</f>
        <v>0</v>
      </c>
      <c r="M84" s="55" t="s">
        <v>186</v>
      </c>
      <c r="N84" s="55" t="s">
        <v>11</v>
      </c>
      <c r="O84" s="54">
        <f>IF(N84="5",I84,0)</f>
        <v>0</v>
      </c>
      <c r="Z84" s="54">
        <f>IF(AD84=0,J84,0)</f>
        <v>0</v>
      </c>
      <c r="AA84" s="54">
        <f>IF(AD84=15,J84,0)</f>
        <v>0</v>
      </c>
      <c r="AB84" s="54">
        <f>IF(AD84=21,J84,0)</f>
        <v>0</v>
      </c>
      <c r="AD84" s="57">
        <v>21</v>
      </c>
      <c r="AE84" s="57">
        <f>G84*0</f>
        <v>0</v>
      </c>
      <c r="AF84" s="57">
        <f>G84*(1-0)</f>
        <v>0</v>
      </c>
      <c r="AM84" s="57">
        <f>F84*AE84</f>
        <v>0</v>
      </c>
      <c r="AN84" s="57">
        <f>F84*AF84</f>
        <v>0</v>
      </c>
      <c r="AO84" s="58" t="s">
        <v>207</v>
      </c>
      <c r="AP84" s="58" t="s">
        <v>210</v>
      </c>
      <c r="AQ84" s="59" t="s">
        <v>211</v>
      </c>
    </row>
    <row r="85" spans="4:6" s="56" customFormat="1" ht="33.75" customHeight="1">
      <c r="D85" s="60" t="s">
        <v>150</v>
      </c>
      <c r="F85" s="61">
        <v>1.6</v>
      </c>
    </row>
    <row r="86" spans="1:43" s="56" customFormat="1" ht="33.75" customHeight="1">
      <c r="A86" s="53" t="s">
        <v>35</v>
      </c>
      <c r="B86" s="53"/>
      <c r="C86" s="53" t="s">
        <v>77</v>
      </c>
      <c r="D86" s="53" t="s">
        <v>152</v>
      </c>
      <c r="E86" s="53" t="s">
        <v>165</v>
      </c>
      <c r="F86" s="54">
        <v>1.6</v>
      </c>
      <c r="G86" s="54">
        <v>0</v>
      </c>
      <c r="H86" s="54">
        <f>ROUND(F86*AE86,2)</f>
        <v>0</v>
      </c>
      <c r="I86" s="54">
        <f>J86-H86</f>
        <v>0</v>
      </c>
      <c r="J86" s="54">
        <f>ROUND(F86*G86,2)</f>
        <v>0</v>
      </c>
      <c r="K86" s="54">
        <v>0</v>
      </c>
      <c r="L86" s="54">
        <f>F86*K86</f>
        <v>0</v>
      </c>
      <c r="M86" s="55" t="s">
        <v>186</v>
      </c>
      <c r="N86" s="55" t="s">
        <v>11</v>
      </c>
      <c r="O86" s="54">
        <f>IF(N86="5",I86,0)</f>
        <v>0</v>
      </c>
      <c r="Z86" s="54">
        <f>IF(AD86=0,J86,0)</f>
        <v>0</v>
      </c>
      <c r="AA86" s="54">
        <f>IF(AD86=15,J86,0)</f>
        <v>0</v>
      </c>
      <c r="AB86" s="54">
        <f>IF(AD86=21,J86,0)</f>
        <v>0</v>
      </c>
      <c r="AD86" s="57">
        <v>21</v>
      </c>
      <c r="AE86" s="57">
        <f>G86*0</f>
        <v>0</v>
      </c>
      <c r="AF86" s="57">
        <f>G86*(1-0)</f>
        <v>0</v>
      </c>
      <c r="AM86" s="57">
        <f>F86*AE86</f>
        <v>0</v>
      </c>
      <c r="AN86" s="57">
        <f>F86*AF86</f>
        <v>0</v>
      </c>
      <c r="AO86" s="58" t="s">
        <v>207</v>
      </c>
      <c r="AP86" s="58" t="s">
        <v>210</v>
      </c>
      <c r="AQ86" s="59" t="s">
        <v>211</v>
      </c>
    </row>
    <row r="87" spans="4:6" s="56" customFormat="1" ht="33.75" customHeight="1">
      <c r="D87" s="60" t="s">
        <v>150</v>
      </c>
      <c r="F87" s="61">
        <v>1.6</v>
      </c>
    </row>
    <row r="88" spans="1:43" s="56" customFormat="1" ht="33.75" customHeight="1">
      <c r="A88" s="53" t="s">
        <v>36</v>
      </c>
      <c r="B88" s="53"/>
      <c r="C88" s="53" t="s">
        <v>78</v>
      </c>
      <c r="D88" s="53" t="s">
        <v>153</v>
      </c>
      <c r="E88" s="53" t="s">
        <v>165</v>
      </c>
      <c r="F88" s="54">
        <v>1.6</v>
      </c>
      <c r="G88" s="54">
        <v>0</v>
      </c>
      <c r="H88" s="54">
        <f>ROUND(F88*AE88,2)</f>
        <v>0</v>
      </c>
      <c r="I88" s="54">
        <f>J88-H88</f>
        <v>0</v>
      </c>
      <c r="J88" s="54">
        <f>ROUND(F88*G88,2)</f>
        <v>0</v>
      </c>
      <c r="K88" s="54">
        <v>0</v>
      </c>
      <c r="L88" s="54">
        <f>F88*K88</f>
        <v>0</v>
      </c>
      <c r="M88" s="55" t="s">
        <v>186</v>
      </c>
      <c r="N88" s="55" t="s">
        <v>11</v>
      </c>
      <c r="O88" s="54">
        <f>IF(N88="5",I88,0)</f>
        <v>0</v>
      </c>
      <c r="Z88" s="54">
        <f>IF(AD88=0,J88,0)</f>
        <v>0</v>
      </c>
      <c r="AA88" s="54">
        <f>IF(AD88=15,J88,0)</f>
        <v>0</v>
      </c>
      <c r="AB88" s="54">
        <f>IF(AD88=21,J88,0)</f>
        <v>0</v>
      </c>
      <c r="AD88" s="57">
        <v>21</v>
      </c>
      <c r="AE88" s="57">
        <f>G88*0</f>
        <v>0</v>
      </c>
      <c r="AF88" s="57">
        <f>G88*(1-0)</f>
        <v>0</v>
      </c>
      <c r="AM88" s="57">
        <f>F88*AE88</f>
        <v>0</v>
      </c>
      <c r="AN88" s="57">
        <f>F88*AF88</f>
        <v>0</v>
      </c>
      <c r="AO88" s="58" t="s">
        <v>207</v>
      </c>
      <c r="AP88" s="58" t="s">
        <v>210</v>
      </c>
      <c r="AQ88" s="59" t="s">
        <v>211</v>
      </c>
    </row>
    <row r="89" spans="4:6" s="56" customFormat="1" ht="33.75" customHeight="1">
      <c r="D89" s="60" t="s">
        <v>150</v>
      </c>
      <c r="F89" s="61">
        <v>1.6</v>
      </c>
    </row>
    <row r="90" spans="1:43" s="56" customFormat="1" ht="33.75" customHeight="1">
      <c r="A90" s="53" t="s">
        <v>37</v>
      </c>
      <c r="B90" s="53"/>
      <c r="C90" s="53" t="s">
        <v>79</v>
      </c>
      <c r="D90" s="53" t="s">
        <v>154</v>
      </c>
      <c r="E90" s="53" t="s">
        <v>165</v>
      </c>
      <c r="F90" s="54">
        <v>1.6</v>
      </c>
      <c r="G90" s="54">
        <v>0</v>
      </c>
      <c r="H90" s="54">
        <f>ROUND(F90*AE90,2)</f>
        <v>0</v>
      </c>
      <c r="I90" s="54">
        <f>J90-H90</f>
        <v>0</v>
      </c>
      <c r="J90" s="54">
        <f>ROUND(F90*G90,2)</f>
        <v>0</v>
      </c>
      <c r="K90" s="54">
        <v>0</v>
      </c>
      <c r="L90" s="54">
        <f>F90*K90</f>
        <v>0</v>
      </c>
      <c r="M90" s="55" t="s">
        <v>186</v>
      </c>
      <c r="N90" s="55" t="s">
        <v>11</v>
      </c>
      <c r="O90" s="54">
        <f>IF(N90="5",I90,0)</f>
        <v>0</v>
      </c>
      <c r="Z90" s="54">
        <f>IF(AD90=0,J90,0)</f>
        <v>0</v>
      </c>
      <c r="AA90" s="54">
        <f>IF(AD90=15,J90,0)</f>
        <v>0</v>
      </c>
      <c r="AB90" s="54">
        <f>IF(AD90=21,J90,0)</f>
        <v>0</v>
      </c>
      <c r="AD90" s="57">
        <v>21</v>
      </c>
      <c r="AE90" s="57">
        <f>G90*0</f>
        <v>0</v>
      </c>
      <c r="AF90" s="57">
        <f>G90*(1-0)</f>
        <v>0</v>
      </c>
      <c r="AM90" s="57">
        <f>F90*AE90</f>
        <v>0</v>
      </c>
      <c r="AN90" s="57">
        <f>F90*AF90</f>
        <v>0</v>
      </c>
      <c r="AO90" s="58" t="s">
        <v>207</v>
      </c>
      <c r="AP90" s="58" t="s">
        <v>210</v>
      </c>
      <c r="AQ90" s="59" t="s">
        <v>211</v>
      </c>
    </row>
    <row r="91" spans="4:6" s="56" customFormat="1" ht="33.75" customHeight="1">
      <c r="D91" s="60" t="s">
        <v>150</v>
      </c>
      <c r="F91" s="61">
        <v>1.6</v>
      </c>
    </row>
    <row r="92" spans="1:43" s="56" customFormat="1" ht="33.75" customHeight="1">
      <c r="A92" s="53" t="s">
        <v>38</v>
      </c>
      <c r="B92" s="53"/>
      <c r="C92" s="53" t="s">
        <v>80</v>
      </c>
      <c r="D92" s="53" t="s">
        <v>155</v>
      </c>
      <c r="E92" s="53" t="s">
        <v>165</v>
      </c>
      <c r="F92" s="54">
        <v>1.6</v>
      </c>
      <c r="G92" s="54">
        <v>0</v>
      </c>
      <c r="H92" s="54">
        <f>ROUND(F92*AE92,2)</f>
        <v>0</v>
      </c>
      <c r="I92" s="54">
        <f>J92-H92</f>
        <v>0</v>
      </c>
      <c r="J92" s="54">
        <f>ROUND(F92*G92,2)</f>
        <v>0</v>
      </c>
      <c r="K92" s="54">
        <v>0</v>
      </c>
      <c r="L92" s="54">
        <f>F92*K92</f>
        <v>0</v>
      </c>
      <c r="M92" s="55" t="s">
        <v>186</v>
      </c>
      <c r="N92" s="55" t="s">
        <v>11</v>
      </c>
      <c r="O92" s="54">
        <f>IF(N92="5",I92,0)</f>
        <v>0</v>
      </c>
      <c r="Z92" s="54">
        <f>IF(AD92=0,J92,0)</f>
        <v>0</v>
      </c>
      <c r="AA92" s="54">
        <f>IF(AD92=15,J92,0)</f>
        <v>0</v>
      </c>
      <c r="AB92" s="54">
        <f>IF(AD92=21,J92,0)</f>
        <v>0</v>
      </c>
      <c r="AD92" s="57">
        <v>21</v>
      </c>
      <c r="AE92" s="57">
        <f>G92*0</f>
        <v>0</v>
      </c>
      <c r="AF92" s="57">
        <f>G92*(1-0)</f>
        <v>0</v>
      </c>
      <c r="AM92" s="57">
        <f>F92*AE92</f>
        <v>0</v>
      </c>
      <c r="AN92" s="57">
        <f>F92*AF92</f>
        <v>0</v>
      </c>
      <c r="AO92" s="58" t="s">
        <v>207</v>
      </c>
      <c r="AP92" s="58" t="s">
        <v>210</v>
      </c>
      <c r="AQ92" s="59" t="s">
        <v>211</v>
      </c>
    </row>
    <row r="93" spans="1:13" s="56" customFormat="1" ht="33.75" customHeight="1">
      <c r="A93" s="69"/>
      <c r="B93" s="69"/>
      <c r="C93" s="69"/>
      <c r="D93" s="70" t="s">
        <v>150</v>
      </c>
      <c r="E93" s="69"/>
      <c r="F93" s="71">
        <v>1.6</v>
      </c>
      <c r="G93" s="69"/>
      <c r="H93" s="69"/>
      <c r="I93" s="69"/>
      <c r="J93" s="69"/>
      <c r="K93" s="69"/>
      <c r="L93" s="69"/>
      <c r="M93" s="69"/>
    </row>
    <row r="94" spans="1:28" s="56" customFormat="1" ht="33.75" customHeight="1">
      <c r="A94" s="72"/>
      <c r="B94" s="72"/>
      <c r="C94" s="72"/>
      <c r="D94" s="72"/>
      <c r="E94" s="72"/>
      <c r="F94" s="72"/>
      <c r="G94" s="72"/>
      <c r="H94" s="131" t="s">
        <v>171</v>
      </c>
      <c r="I94" s="82"/>
      <c r="J94" s="73">
        <f>J12+J15+J41+J47+J53+J56+J76+J79</f>
        <v>0</v>
      </c>
      <c r="K94" s="72"/>
      <c r="L94" s="72"/>
      <c r="M94" s="72"/>
      <c r="Z94" s="74">
        <f>SUM(Z13:Z93)</f>
        <v>0</v>
      </c>
      <c r="AA94" s="74">
        <f>SUM(AA13:AA93)</f>
        <v>0</v>
      </c>
      <c r="AB94" s="74">
        <f>SUM(AB13:AB93)</f>
        <v>0</v>
      </c>
    </row>
    <row r="95" s="56" customFormat="1" ht="33.75" customHeight="1">
      <c r="A95" s="75" t="s">
        <v>39</v>
      </c>
    </row>
    <row r="96" spans="1:13" s="56" customFormat="1" ht="33.75" customHeight="1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</row>
    <row r="97" s="56" customFormat="1" ht="33.75" customHeight="1"/>
  </sheetData>
  <mergeCells count="42">
    <mergeCell ref="D79:G79"/>
    <mergeCell ref="H94:I94"/>
    <mergeCell ref="A96:M96"/>
    <mergeCell ref="D47:G47"/>
    <mergeCell ref="D53:G53"/>
    <mergeCell ref="D56:G56"/>
    <mergeCell ref="D76:G76"/>
    <mergeCell ref="D26:M26"/>
    <mergeCell ref="D31:M31"/>
    <mergeCell ref="D36:M36"/>
    <mergeCell ref="D41:G41"/>
    <mergeCell ref="D12:G12"/>
    <mergeCell ref="D15:G15"/>
    <mergeCell ref="D18:M18"/>
    <mergeCell ref="D21:M21"/>
    <mergeCell ref="I8:I9"/>
    <mergeCell ref="J8:M9"/>
    <mergeCell ref="H10:J10"/>
    <mergeCell ref="K10:L10"/>
    <mergeCell ref="A8:C9"/>
    <mergeCell ref="D8:D9"/>
    <mergeCell ref="E8:F9"/>
    <mergeCell ref="G8:H9"/>
    <mergeCell ref="J4:M5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A1:M1"/>
    <mergeCell ref="A2:C3"/>
    <mergeCell ref="D2:D3"/>
    <mergeCell ref="E2:F3"/>
    <mergeCell ref="G2:H3"/>
    <mergeCell ref="I2:I3"/>
    <mergeCell ref="J2:M3"/>
    <mergeCell ref="I4:I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</cp:lastModifiedBy>
  <dcterms:created xsi:type="dcterms:W3CDTF">2018-02-20T19:47:40Z</dcterms:created>
  <dcterms:modified xsi:type="dcterms:W3CDTF">2018-02-20T19:53:01Z</dcterms:modified>
  <cp:category/>
  <cp:version/>
  <cp:contentType/>
  <cp:contentStatus/>
</cp:coreProperties>
</file>